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560" activeTab="0"/>
  </bookViews>
  <sheets>
    <sheet name="NOTES" sheetId="1" r:id="rId1"/>
    <sheet name="Table 1" sheetId="2" r:id="rId2"/>
    <sheet name="Imports" sheetId="3" r:id="rId3"/>
    <sheet name="Exports" sheetId="4" r:id="rId4"/>
    <sheet name="Remarks" sheetId="5" r:id="rId5"/>
    <sheet name="Data" sheetId="6" r:id="rId6"/>
    <sheet name="Param" sheetId="7" r:id="rId7"/>
  </sheets>
  <definedNames>
    <definedName name="_xlfn.IFERROR" hidden="1">#NAME?</definedName>
    <definedName name="CountryIeaCode">'Param'!$D$56</definedName>
    <definedName name="CountryIeaList">'Param'!$D$6:$D$45</definedName>
    <definedName name="CountryIndex">'Param'!$D$55</definedName>
    <definedName name="CountryIsoCode">'Param'!$D$57</definedName>
    <definedName name="CountryIsoList">'Param'!$E$6:$E$45</definedName>
    <definedName name="CountryList">'Param'!$C$6:$C$45</definedName>
    <definedName name="CsvCountry">'Param'!$D$59</definedName>
    <definedName name="CsvCountryName">'Param'!$D$61</definedName>
    <definedName name="DataCountry">'Data'!$B$1</definedName>
    <definedName name="DatatypeExp">'Exports'!$T$2</definedName>
    <definedName name="DatatypeImp">'Imports'!$T$2</definedName>
    <definedName name="DatatypeRem">'Remarks'!$G$3</definedName>
    <definedName name="DatatypeTab1">'Table 1'!$J$2</definedName>
    <definedName name="DataYear">'Data'!$B$2</definedName>
    <definedName name="Item1Exp">'Exports'!$S$6:$T$170</definedName>
    <definedName name="Item1Imp">'Imports'!$S$6:$T$170</definedName>
    <definedName name="Item1Rem">'Remarks'!$G$5:$G$44</definedName>
    <definedName name="Item1Tab1">'Table 1'!$J$5:$J$270</definedName>
    <definedName name="MsgAfterRounding">'Param'!$D$48</definedName>
    <definedName name="ParamCountry">'Param'!$C$6:$E$45</definedName>
    <definedName name="_xlnm.Print_Area" localSheetId="3">'Exports'!$C$1:$O$170</definedName>
    <definedName name="_xlnm.Print_Area" localSheetId="2">'Imports'!$C$1:$O$170</definedName>
    <definedName name="_xlnm.Print_Area" localSheetId="4">'Remarks'!$B$1:$D$44</definedName>
    <definedName name="_xlnm.Print_Titles" localSheetId="1">'Table 1'!$1:$4</definedName>
    <definedName name="ProductExp">'Exports'!$E$174:$O$174</definedName>
    <definedName name="ProductImp">'Imports'!$E$174:$O$174</definedName>
    <definedName name="ProductRem">'Remarks'!$H$5:$H$44</definedName>
    <definedName name="ProductTab1">'Table 1'!$K$5:$K$344</definedName>
    <definedName name="ValuesExp">'Exports'!$E$6:$O$170</definedName>
    <definedName name="ValuesImp">'Imports'!$E$6:$O$170</definedName>
    <definedName name="ValuesRem">'Remarks'!$C$5:$C$44</definedName>
    <definedName name="ValuesTab1">'Table 1'!$E$5:$E$344</definedName>
  </definedNames>
  <calcPr fullCalcOnLoad="1"/>
</workbook>
</file>

<file path=xl/sharedStrings.xml><?xml version="1.0" encoding="utf-8"?>
<sst xmlns="http://schemas.openxmlformats.org/spreadsheetml/2006/main" count="2236" uniqueCount="687">
  <si>
    <t>Mini Coal Questionnaire</t>
  </si>
  <si>
    <t>EXPLANATORY NOTES</t>
  </si>
  <si>
    <t>EMAIL:  COALAQ@IEA.ORG</t>
  </si>
  <si>
    <t>Guidelines to assist you in your preparations:</t>
  </si>
  <si>
    <t>France</t>
  </si>
  <si>
    <t>COKCOAL</t>
  </si>
  <si>
    <t>BITCOAL</t>
  </si>
  <si>
    <t>SUBCOAL</t>
  </si>
  <si>
    <t>LIGNITE</t>
  </si>
  <si>
    <t>OVENCOKE</t>
  </si>
  <si>
    <t>A</t>
  </si>
  <si>
    <t>B</t>
  </si>
  <si>
    <t>C</t>
  </si>
  <si>
    <t>D</t>
  </si>
  <si>
    <t>E</t>
  </si>
  <si>
    <t>ALBANIA</t>
  </si>
  <si>
    <t>Albania</t>
  </si>
  <si>
    <t>AUSTRALI</t>
  </si>
  <si>
    <t>AUSTRIA</t>
  </si>
  <si>
    <t>BELGIUM</t>
  </si>
  <si>
    <t>BULGARIA</t>
  </si>
  <si>
    <t>Bulgaria</t>
  </si>
  <si>
    <t>CANADA</t>
  </si>
  <si>
    <t>CHINA</t>
  </si>
  <si>
    <t>COLOMBIA</t>
  </si>
  <si>
    <t>Colombia</t>
  </si>
  <si>
    <t>Czech Republic</t>
  </si>
  <si>
    <t>DENMARK</t>
  </si>
  <si>
    <t>FINLAND</t>
  </si>
  <si>
    <t>FRANCE</t>
  </si>
  <si>
    <t>GERMANY</t>
  </si>
  <si>
    <t>GREECE</t>
  </si>
  <si>
    <t>HUNGARY</t>
  </si>
  <si>
    <t>Hungary</t>
  </si>
  <si>
    <t>ICELAND</t>
  </si>
  <si>
    <t>Iceland</t>
  </si>
  <si>
    <t>INDONESIA</t>
  </si>
  <si>
    <t>Indonesia</t>
  </si>
  <si>
    <t>IRELAND</t>
  </si>
  <si>
    <t>ISRAEL</t>
  </si>
  <si>
    <t>Israel</t>
  </si>
  <si>
    <t>ITALY</t>
  </si>
  <si>
    <t>JAPAN</t>
  </si>
  <si>
    <t>LUXEMBOU</t>
  </si>
  <si>
    <t>Luxembourg</t>
  </si>
  <si>
    <t>MEXICO</t>
  </si>
  <si>
    <t>Mexico</t>
  </si>
  <si>
    <t>MOZAMBIQUE</t>
  </si>
  <si>
    <t>Mozambique</t>
  </si>
  <si>
    <t>NETHLAND</t>
  </si>
  <si>
    <t>NZ</t>
  </si>
  <si>
    <t>NORWAY</t>
  </si>
  <si>
    <t>POLAND</t>
  </si>
  <si>
    <t>Poland</t>
  </si>
  <si>
    <t>PORTUGAL</t>
  </si>
  <si>
    <t>ROMANIA</t>
  </si>
  <si>
    <t>Romania</t>
  </si>
  <si>
    <t>SLOVAKIA</t>
  </si>
  <si>
    <t>Slovak Republic</t>
  </si>
  <si>
    <t>SOUTHAFRIC</t>
  </si>
  <si>
    <t>South Africa</t>
  </si>
  <si>
    <t>SPAIN</t>
  </si>
  <si>
    <t>SWEDEN</t>
  </si>
  <si>
    <t>SWITLAND</t>
  </si>
  <si>
    <t>TURKEY</t>
  </si>
  <si>
    <t>ARMENIA</t>
  </si>
  <si>
    <t>AZERBAIJAN</t>
  </si>
  <si>
    <t>BELARUS</t>
  </si>
  <si>
    <t>ESTONIA</t>
  </si>
  <si>
    <t>GEORGIA</t>
  </si>
  <si>
    <t>KAZAKHSTAN</t>
  </si>
  <si>
    <t>KYRGYZSTAN</t>
  </si>
  <si>
    <t>LATVIA</t>
  </si>
  <si>
    <t>LITHUANIA</t>
  </si>
  <si>
    <t>MOLDOVA</t>
  </si>
  <si>
    <t>RUSSIA</t>
  </si>
  <si>
    <t>TAJIKISTAN</t>
  </si>
  <si>
    <t>TURKMENIST</t>
  </si>
  <si>
    <t>UKRAINE</t>
  </si>
  <si>
    <t>UZBEKISTAN</t>
  </si>
  <si>
    <t>UK</t>
  </si>
  <si>
    <t>USA</t>
  </si>
  <si>
    <t>VENEZUELA</t>
  </si>
  <si>
    <t>VIETNAM</t>
  </si>
  <si>
    <t>BOSNIAHERZ</t>
  </si>
  <si>
    <t>CROATIA</t>
  </si>
  <si>
    <t>SLOVENIA</t>
  </si>
  <si>
    <t>SERBIA</t>
  </si>
  <si>
    <t>NONSPEC</t>
  </si>
  <si>
    <t>Table 2:  IMPORTS BY SOURCE</t>
  </si>
  <si>
    <t>United Kingdom</t>
  </si>
  <si>
    <t>Table 3 EXPORTS BY DESTINATION</t>
  </si>
  <si>
    <t>ALGERIA</t>
  </si>
  <si>
    <t>Algeria</t>
  </si>
  <si>
    <t>ARGENTINA</t>
  </si>
  <si>
    <t>Argentina</t>
  </si>
  <si>
    <t>BRAZIL</t>
  </si>
  <si>
    <t>Brazil</t>
  </si>
  <si>
    <t>Canada</t>
  </si>
  <si>
    <t>CHILE</t>
  </si>
  <si>
    <t>Chile</t>
  </si>
  <si>
    <t>CYPRUS</t>
  </si>
  <si>
    <t>Cyprus</t>
  </si>
  <si>
    <t>Denmark</t>
  </si>
  <si>
    <t>EGYPT</t>
  </si>
  <si>
    <t>Egypt</t>
  </si>
  <si>
    <t>Finland</t>
  </si>
  <si>
    <t>Germany</t>
  </si>
  <si>
    <t>Greece</t>
  </si>
  <si>
    <t>HONGKONG</t>
  </si>
  <si>
    <t>INDIA</t>
  </si>
  <si>
    <t>India</t>
  </si>
  <si>
    <t>Ireland</t>
  </si>
  <si>
    <t>Italy</t>
  </si>
  <si>
    <t>Japan</t>
  </si>
  <si>
    <t>KOREA</t>
  </si>
  <si>
    <t>Korea</t>
  </si>
  <si>
    <t>MALAYSIA</t>
  </si>
  <si>
    <t>Malaysia</t>
  </si>
  <si>
    <t>MALTA</t>
  </si>
  <si>
    <t>Malta</t>
  </si>
  <si>
    <t>MOROCCO</t>
  </si>
  <si>
    <t>Morocco</t>
  </si>
  <si>
    <t>Netherlands</t>
  </si>
  <si>
    <t>New Zealand</t>
  </si>
  <si>
    <t>Norway</t>
  </si>
  <si>
    <t>OTHERAFRIC</t>
  </si>
  <si>
    <t>Other Africa</t>
  </si>
  <si>
    <t>OTHERLATIN</t>
  </si>
  <si>
    <t>OTHERASIA</t>
  </si>
  <si>
    <t>PAKISTAN</t>
  </si>
  <si>
    <t>Pakistan</t>
  </si>
  <si>
    <t>PHILIPPINE</t>
  </si>
  <si>
    <t>Philippines</t>
  </si>
  <si>
    <t>Portugal</t>
  </si>
  <si>
    <t>Spain</t>
  </si>
  <si>
    <t>Sweden</t>
  </si>
  <si>
    <t>Switzerland</t>
  </si>
  <si>
    <t>THAILAND</t>
  </si>
  <si>
    <t>Thailand</t>
  </si>
  <si>
    <t>Turkey</t>
  </si>
  <si>
    <t>United States</t>
  </si>
  <si>
    <t>A stock build is shown as a negative number and a stock draw is shown as a positive number.</t>
  </si>
  <si>
    <t>Note for Stock Changes:</t>
  </si>
  <si>
    <t>REMARKS PAGE</t>
  </si>
  <si>
    <t>(Solid Fuels and Manufactured Gases)</t>
  </si>
  <si>
    <t>F</t>
  </si>
  <si>
    <t>G</t>
  </si>
  <si>
    <t>H</t>
  </si>
  <si>
    <r>
      <t xml:space="preserve">Anthracite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</si>
  <si>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t>ANTCOAL</t>
  </si>
  <si>
    <t>PATFUEL</t>
  </si>
  <si>
    <t>COALTAR</t>
  </si>
  <si>
    <t>BKB</t>
  </si>
  <si>
    <r>
      <t xml:space="preserve">Anthracite
</t>
    </r>
    <r>
      <rPr>
        <sz val="10"/>
        <rFont val="Arial"/>
        <family val="2"/>
      </rPr>
      <t>[000 t]</t>
    </r>
  </si>
  <si>
    <r>
      <t xml:space="preserve">Peat
</t>
    </r>
    <r>
      <rPr>
        <sz val="10"/>
        <rFont val="Arial"/>
        <family val="2"/>
      </rPr>
      <t>[000 t]</t>
    </r>
  </si>
  <si>
    <t>I</t>
  </si>
  <si>
    <t xml:space="preserve"> - There are some simple checks in this file. Please send us the file with no ERROR messages.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</si>
  <si>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</si>
  <si>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</si>
  <si>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</si>
  <si>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</si>
  <si>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</si>
  <si>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</si>
  <si>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</si>
  <si>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Croatia</t>
  </si>
  <si>
    <t>Estonia</t>
  </si>
  <si>
    <t>Georgia</t>
  </si>
  <si>
    <t>Kazakhstan</t>
  </si>
  <si>
    <t>Kyrgyzstan</t>
  </si>
  <si>
    <t>Latvia</t>
  </si>
  <si>
    <t>Lithuania</t>
  </si>
  <si>
    <t>Montenegro</t>
  </si>
  <si>
    <t>Serbia</t>
  </si>
  <si>
    <t>Slovenia</t>
  </si>
  <si>
    <t>Tajikistan</t>
  </si>
  <si>
    <t>Turkmenistan</t>
  </si>
  <si>
    <t>Ukraine</t>
  </si>
  <si>
    <t>Uzbekistan</t>
  </si>
  <si>
    <t>Total Imports (Trade)</t>
  </si>
  <si>
    <t>CZECH</t>
  </si>
  <si>
    <t>KOREADPR</t>
  </si>
  <si>
    <t>MONTENEGRO</t>
  </si>
  <si>
    <t xml:space="preserve"> </t>
  </si>
  <si>
    <t>IMPORTS</t>
  </si>
  <si>
    <t>Other Near and Middle East</t>
  </si>
  <si>
    <t>Total Exports (Trade)</t>
  </si>
  <si>
    <t>EXPORTS</t>
  </si>
  <si>
    <t>TAIPEI</t>
  </si>
  <si>
    <t>OTHERNEARM</t>
  </si>
  <si>
    <t>Country</t>
  </si>
  <si>
    <t>SETTINGS</t>
  </si>
  <si>
    <r>
      <t xml:space="preserve">ParamCountry / </t>
    </r>
    <r>
      <rPr>
        <sz val="10"/>
        <color indexed="12"/>
        <rFont val="Arial"/>
        <family val="2"/>
      </rPr>
      <t>CountryList</t>
    </r>
  </si>
  <si>
    <t>COUNTRY</t>
  </si>
  <si>
    <t>00</t>
  </si>
  <si>
    <t>AU</t>
  </si>
  <si>
    <t>AT</t>
  </si>
  <si>
    <t>BE</t>
  </si>
  <si>
    <t>CA</t>
  </si>
  <si>
    <t>CZ</t>
  </si>
  <si>
    <t>DK</t>
  </si>
  <si>
    <t>FI</t>
  </si>
  <si>
    <t>FR</t>
  </si>
  <si>
    <t>DE</t>
  </si>
  <si>
    <t>GR</t>
  </si>
  <si>
    <t>HU</t>
  </si>
  <si>
    <t>IS</t>
  </si>
  <si>
    <t>IE</t>
  </si>
  <si>
    <t>IT</t>
  </si>
  <si>
    <t>JP</t>
  </si>
  <si>
    <t>KR</t>
  </si>
  <si>
    <t>LU</t>
  </si>
  <si>
    <t>MX</t>
  </si>
  <si>
    <t>NL</t>
  </si>
  <si>
    <t>NO</t>
  </si>
  <si>
    <t>PL</t>
  </si>
  <si>
    <t>PT</t>
  </si>
  <si>
    <t>SK</t>
  </si>
  <si>
    <t>ES</t>
  </si>
  <si>
    <t>SE</t>
  </si>
  <si>
    <t>CH</t>
  </si>
  <si>
    <t>TR</t>
  </si>
  <si>
    <t>GB</t>
  </si>
  <si>
    <t>US</t>
  </si>
  <si>
    <t xml:space="preserve">MsgAfterRounding : </t>
  </si>
  <si>
    <t>CALCULATIONS</t>
  </si>
  <si>
    <t>ê</t>
  </si>
  <si>
    <t>DO NOT TOUCH!</t>
  </si>
  <si>
    <t xml:space="preserve">CountryIndex: </t>
  </si>
  <si>
    <t xml:space="preserve">CountryIeaCode: </t>
  </si>
  <si>
    <t xml:space="preserve">CountryIsoCode: </t>
  </si>
  <si>
    <t>CsvCountry:</t>
  </si>
  <si>
    <t>Paste by VBA</t>
  </si>
  <si>
    <t>CsvCountryName:</t>
  </si>
  <si>
    <t>Read by VBA</t>
  </si>
  <si>
    <t>Datatype</t>
  </si>
  <si>
    <t>Item1</t>
  </si>
  <si>
    <t>Product</t>
  </si>
  <si>
    <t>FLOW</t>
  </si>
  <si>
    <t>INDPROD</t>
  </si>
  <si>
    <t>OSOURCES</t>
  </si>
  <si>
    <t>TOTIMPSB</t>
  </si>
  <si>
    <t>TOTEXPSB</t>
  </si>
  <si>
    <t>STCHANAT</t>
  </si>
  <si>
    <t>INDCONC</t>
  </si>
  <si>
    <t>PEAT</t>
  </si>
  <si>
    <t>GASCOKE</t>
  </si>
  <si>
    <t>GASWKSGS</t>
  </si>
  <si>
    <t>COKEOVGS</t>
  </si>
  <si>
    <t>BLFURGS</t>
  </si>
  <si>
    <t>AL</t>
  </si>
  <si>
    <t>AM</t>
  </si>
  <si>
    <t>AR</t>
  </si>
  <si>
    <t>AZ</t>
  </si>
  <si>
    <t>BA</t>
  </si>
  <si>
    <t>BG</t>
  </si>
  <si>
    <t>BR</t>
  </si>
  <si>
    <t>BY</t>
  </si>
  <si>
    <t>CL</t>
  </si>
  <si>
    <t>CN</t>
  </si>
  <si>
    <t>CO</t>
  </si>
  <si>
    <t>CY</t>
  </si>
  <si>
    <t>DZ</t>
  </si>
  <si>
    <t>EE</t>
  </si>
  <si>
    <t>EG</t>
  </si>
  <si>
    <t>GE</t>
  </si>
  <si>
    <t>HK</t>
  </si>
  <si>
    <t>HR</t>
  </si>
  <si>
    <t>ID</t>
  </si>
  <si>
    <t>IL</t>
  </si>
  <si>
    <t>IN</t>
  </si>
  <si>
    <t>KG</t>
  </si>
  <si>
    <t>KP</t>
  </si>
  <si>
    <t>KZ</t>
  </si>
  <si>
    <t>LT</t>
  </si>
  <si>
    <t>LV</t>
  </si>
  <si>
    <t>MA</t>
  </si>
  <si>
    <t>MD</t>
  </si>
  <si>
    <t>ME</t>
  </si>
  <si>
    <t>MK</t>
  </si>
  <si>
    <t>MT</t>
  </si>
  <si>
    <t>MY</t>
  </si>
  <si>
    <t>MZ</t>
  </si>
  <si>
    <t>PH</t>
  </si>
  <si>
    <t>PK</t>
  </si>
  <si>
    <t>RO</t>
  </si>
  <si>
    <t>RS</t>
  </si>
  <si>
    <t>RU</t>
  </si>
  <si>
    <t>SI</t>
  </si>
  <si>
    <t>TH</t>
  </si>
  <si>
    <t>TJ</t>
  </si>
  <si>
    <t>TM</t>
  </si>
  <si>
    <t>UA</t>
  </si>
  <si>
    <t>UZ</t>
  </si>
  <si>
    <t>VE</t>
  </si>
  <si>
    <t>VN</t>
  </si>
  <si>
    <t>ZA</t>
  </si>
  <si>
    <t>O1</t>
  </si>
  <si>
    <t>O4</t>
  </si>
  <si>
    <t>T2</t>
  </si>
  <si>
    <t>Y2</t>
  </si>
  <si>
    <t>Y3</t>
  </si>
  <si>
    <t>REMROW01</t>
  </si>
  <si>
    <t>REMROW02</t>
  </si>
  <si>
    <t>REMROW03</t>
  </si>
  <si>
    <t>REMROW04</t>
  </si>
  <si>
    <t>REMROW05</t>
  </si>
  <si>
    <t>REMROW06</t>
  </si>
  <si>
    <t>REMROW07</t>
  </si>
  <si>
    <t>REMROW08</t>
  </si>
  <si>
    <t>REMROW09</t>
  </si>
  <si>
    <t>REMROW10</t>
  </si>
  <si>
    <t>REMROW11</t>
  </si>
  <si>
    <t>REMROW12</t>
  </si>
  <si>
    <t>REMROW13</t>
  </si>
  <si>
    <t>REMROW14</t>
  </si>
  <si>
    <t>REMROW15</t>
  </si>
  <si>
    <t>REMROW16</t>
  </si>
  <si>
    <t>REMROW17</t>
  </si>
  <si>
    <t>REMROW18</t>
  </si>
  <si>
    <t>REMROW19</t>
  </si>
  <si>
    <t>REMROW20</t>
  </si>
  <si>
    <t>REMROW21</t>
  </si>
  <si>
    <t>REMROW22</t>
  </si>
  <si>
    <t>REMROW23</t>
  </si>
  <si>
    <t>REMROW24</t>
  </si>
  <si>
    <t>REMROW25</t>
  </si>
  <si>
    <t>REMROW26</t>
  </si>
  <si>
    <t>REMROW27</t>
  </si>
  <si>
    <t>REMROW28</t>
  </si>
  <si>
    <t>REMROW29</t>
  </si>
  <si>
    <t>REMROW30</t>
  </si>
  <si>
    <t>REMROW31</t>
  </si>
  <si>
    <t>REMROW32</t>
  </si>
  <si>
    <t>REMROW33</t>
  </si>
  <si>
    <t>REMROW34</t>
  </si>
  <si>
    <t>REMROW35</t>
  </si>
  <si>
    <t>REMROW36</t>
  </si>
  <si>
    <t>REMROW37</t>
  </si>
  <si>
    <t>REMROW38</t>
  </si>
  <si>
    <t>REMROW39</t>
  </si>
  <si>
    <t>REMROW40</t>
  </si>
  <si>
    <t>REMARKS</t>
  </si>
  <si>
    <r>
      <t xml:space="preserve">Products </t>
    </r>
    <r>
      <rPr>
        <b/>
        <sz val="10"/>
        <rFont val="Wingdings"/>
        <family val="0"/>
      </rPr>
      <t>è</t>
    </r>
  </si>
  <si>
    <t>Product (none)</t>
  </si>
  <si>
    <t>Russian Federation</t>
  </si>
  <si>
    <t>P1</t>
  </si>
  <si>
    <t>P4</t>
  </si>
  <si>
    <t>fax: +33 1 40 57 65 09</t>
  </si>
  <si>
    <t>TABLE 1: Production, Imports, Exports, Stock changes, Gross consumption</t>
  </si>
  <si>
    <t>Solid fossil-fuels and manufactured gases</t>
  </si>
  <si>
    <t>Indigenous production</t>
  </si>
  <si>
    <r>
      <t xml:space="preserve">Coking coal
</t>
    </r>
    <r>
      <rPr>
        <sz val="10"/>
        <rFont val="Arial"/>
        <family val="2"/>
      </rPr>
      <t>[000 t]</t>
    </r>
  </si>
  <si>
    <r>
      <t xml:space="preserve">Other bituminous coal
</t>
    </r>
    <r>
      <rPr>
        <sz val="10"/>
        <rFont val="Arial"/>
        <family val="2"/>
      </rPr>
      <t>[000 t]</t>
    </r>
  </si>
  <si>
    <r>
      <t xml:space="preserve">Sub-bituminous coal
</t>
    </r>
    <r>
      <rPr>
        <sz val="10"/>
        <rFont val="Arial"/>
        <family val="2"/>
      </rPr>
      <t>[000 t]</t>
    </r>
  </si>
  <si>
    <r>
      <t xml:space="preserve">Patent fuel
</t>
    </r>
    <r>
      <rPr>
        <sz val="10"/>
        <rFont val="Arial"/>
        <family val="2"/>
      </rPr>
      <t>[000 t]</t>
    </r>
  </si>
  <si>
    <r>
      <t xml:space="preserve">Coke oven coke
</t>
    </r>
    <r>
      <rPr>
        <sz val="10"/>
        <rFont val="Arial"/>
        <family val="2"/>
      </rPr>
      <t>[000 t]</t>
    </r>
  </si>
  <si>
    <r>
      <t xml:space="preserve">Gas coke
</t>
    </r>
    <r>
      <rPr>
        <sz val="10"/>
        <rFont val="Arial"/>
        <family val="2"/>
      </rPr>
      <t>[000 t]</t>
    </r>
  </si>
  <si>
    <r>
      <t xml:space="preserve">Coal tar
</t>
    </r>
    <r>
      <rPr>
        <sz val="10"/>
        <rFont val="Arial"/>
        <family val="2"/>
      </rPr>
      <t>[000 t]</t>
    </r>
  </si>
  <si>
    <r>
      <t xml:space="preserve">Gas works gas
</t>
    </r>
    <r>
      <rPr>
        <sz val="10"/>
        <rFont val="Arial"/>
        <family val="2"/>
      </rPr>
      <t>[TJ gross]</t>
    </r>
  </si>
  <si>
    <r>
      <t xml:space="preserve">Coke oven gas
</t>
    </r>
    <r>
      <rPr>
        <sz val="10"/>
        <rFont val="Arial"/>
        <family val="2"/>
      </rPr>
      <t>[TJ gross]</t>
    </r>
  </si>
  <si>
    <r>
      <t xml:space="preserve">Blast furnace gas
</t>
    </r>
    <r>
      <rPr>
        <sz val="10"/>
        <rFont val="Arial"/>
        <family val="2"/>
      </rPr>
      <t>[TJ gross]</t>
    </r>
  </si>
  <si>
    <t>From other sources</t>
  </si>
  <si>
    <t>Total imports (Balance)</t>
  </si>
  <si>
    <t>Total exports (Balance)</t>
  </si>
  <si>
    <t>Stock changes (National territory)</t>
  </si>
  <si>
    <t>Inland consumption (calculated)</t>
  </si>
  <si>
    <r>
      <t xml:space="preserve">Coking coal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</t>
    </r>
  </si>
  <si>
    <r>
      <t xml:space="preserve">Other bituminous coal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</t>
    </r>
  </si>
  <si>
    <r>
      <t xml:space="preserve">Sub-bituminous
coal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</t>
    </r>
  </si>
  <si>
    <r>
      <t xml:space="preserve">Patent fuel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</si>
  <si>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Coke oven coke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</si>
  <si>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Coal tar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</si>
  <si>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t>If you have any questions, please do not hesitate to contact us:</t>
  </si>
  <si>
    <t>Myanmar</t>
  </si>
  <si>
    <t>Mongolia</t>
  </si>
  <si>
    <t>MN</t>
  </si>
  <si>
    <t>MONGOLIA</t>
  </si>
  <si>
    <t>MM</t>
  </si>
  <si>
    <t>MYANMAR</t>
  </si>
  <si>
    <t>PEATPROD</t>
  </si>
  <si>
    <t>Peat</t>
  </si>
  <si>
    <r>
      <t xml:space="preserve">Peat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</si>
  <si>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Peat Products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</si>
  <si>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t>J</t>
  </si>
  <si>
    <t>K</t>
  </si>
  <si>
    <r>
      <t xml:space="preserve">Lignite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</si>
  <si>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BKB
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 </t>
    </r>
  </si>
  <si>
    <r>
      <t xml:space="preserve">BKB
</t>
    </r>
    <r>
      <rPr>
        <sz val="10"/>
        <rFont val="Arial"/>
        <family val="2"/>
      </rPr>
      <t>[000 t]</t>
    </r>
  </si>
  <si>
    <r>
      <t xml:space="preserve">Other recovered gases
</t>
    </r>
    <r>
      <rPr>
        <sz val="10"/>
        <rFont val="Arial"/>
        <family val="2"/>
      </rPr>
      <t>[TJ gross]</t>
    </r>
  </si>
  <si>
    <t>OGASES</t>
  </si>
  <si>
    <r>
      <t xml:space="preserve">Lignite
</t>
    </r>
    <r>
      <rPr>
        <sz val="10"/>
        <rFont val="Arial"/>
        <family val="2"/>
      </rPr>
      <t>[000 t]</t>
    </r>
  </si>
  <si>
    <r>
      <t xml:space="preserve">Peat Products
</t>
    </r>
    <r>
      <rPr>
        <sz val="10"/>
        <rFont val="Arial"/>
        <family val="2"/>
      </rPr>
      <t>[000 t]</t>
    </r>
  </si>
  <si>
    <r>
      <t xml:space="preserve">Oil shale and   oil sands
</t>
    </r>
    <r>
      <rPr>
        <sz val="10"/>
        <rFont val="Arial"/>
        <family val="2"/>
      </rPr>
      <t>[000 t]</t>
    </r>
  </si>
  <si>
    <t>OILSHALE</t>
  </si>
  <si>
    <t xml:space="preserve"> - You can enter data only to non-shaded cells, other cells are protected against changes.</t>
  </si>
  <si>
    <t xml:space="preserve"> - Please enter all explanations, notes and remarks in the worksheet, "Remarks".</t>
  </si>
  <si>
    <t>Dominican Republic</t>
  </si>
  <si>
    <t>Ethiopia</t>
  </si>
  <si>
    <t>Guatemala</t>
  </si>
  <si>
    <t>Jordan</t>
  </si>
  <si>
    <t>Kenya</t>
  </si>
  <si>
    <t>Mauritius</t>
  </si>
  <si>
    <t>Panama</t>
  </si>
  <si>
    <t>Peru</t>
  </si>
  <si>
    <t>Senegal</t>
  </si>
  <si>
    <t>Singapore</t>
  </si>
  <si>
    <t>Sri Lanka</t>
  </si>
  <si>
    <t>United Arab Emirates</t>
  </si>
  <si>
    <t>Viet Nam</t>
  </si>
  <si>
    <t>Yemen</t>
  </si>
  <si>
    <t>Not elsewhere specified</t>
  </si>
  <si>
    <t>DO</t>
  </si>
  <si>
    <t>DOMINICANR</t>
  </si>
  <si>
    <t>ETHIOPIA</t>
  </si>
  <si>
    <t>ET</t>
  </si>
  <si>
    <t>GT</t>
  </si>
  <si>
    <t>GUATEMALA</t>
  </si>
  <si>
    <t>IRAN</t>
  </si>
  <si>
    <t>IR</t>
  </si>
  <si>
    <t>JORDAN</t>
  </si>
  <si>
    <t>JO</t>
  </si>
  <si>
    <t>KENYA</t>
  </si>
  <si>
    <t>KE</t>
  </si>
  <si>
    <t>MAURITIUS</t>
  </si>
  <si>
    <t>MU</t>
  </si>
  <si>
    <t>PANAMA</t>
  </si>
  <si>
    <t>PA</t>
  </si>
  <si>
    <t>PERU</t>
  </si>
  <si>
    <t>PE</t>
  </si>
  <si>
    <t>SENEGAL</t>
  </si>
  <si>
    <t>SN</t>
  </si>
  <si>
    <t>SINGAPORE</t>
  </si>
  <si>
    <t>SG</t>
  </si>
  <si>
    <t>SRILANKA</t>
  </si>
  <si>
    <t>LK</t>
  </si>
  <si>
    <t>UAE</t>
  </si>
  <si>
    <t>AE</t>
  </si>
  <si>
    <t>YEMEN</t>
  </si>
  <si>
    <t>YE</t>
  </si>
  <si>
    <t>LA</t>
  </si>
  <si>
    <t>Checks</t>
  </si>
  <si>
    <t>Andorra</t>
  </si>
  <si>
    <t>Angola</t>
  </si>
  <si>
    <t>Aruba</t>
  </si>
  <si>
    <t>Bahamas</t>
  </si>
  <si>
    <t>Bahrain</t>
  </si>
  <si>
    <t>Bangladesh</t>
  </si>
  <si>
    <t>Barbados</t>
  </si>
  <si>
    <t>Belize</t>
  </si>
  <si>
    <t>Benin</t>
  </si>
  <si>
    <t>Bolivia</t>
  </si>
  <si>
    <t>British Virgin Islands</t>
  </si>
  <si>
    <t>Brunei Darussalam</t>
  </si>
  <si>
    <t>Cambodia</t>
  </si>
  <si>
    <t>Cameroon</t>
  </si>
  <si>
    <t>Cape Verde / Cabo Verde</t>
  </si>
  <si>
    <t>China, People's Republic of</t>
  </si>
  <si>
    <t>Congo</t>
  </si>
  <si>
    <t>Costa Rica</t>
  </si>
  <si>
    <t>Côte d’Ivoire</t>
  </si>
  <si>
    <t>Cuba</t>
  </si>
  <si>
    <t>Curaçao</t>
  </si>
  <si>
    <t>Korea, Democratic People's Republic of</t>
  </si>
  <si>
    <t>Congo, Democratic Republic of the</t>
  </si>
  <si>
    <t>Djibouti</t>
  </si>
  <si>
    <t>Ecuador</t>
  </si>
  <si>
    <t>Equatorial Guinea</t>
  </si>
  <si>
    <t>Eritrea</t>
  </si>
  <si>
    <t>Gabon</t>
  </si>
  <si>
    <t>Ghana</t>
  </si>
  <si>
    <t>Gibraltar</t>
  </si>
  <si>
    <t>Guinea-Bissau</t>
  </si>
  <si>
    <t>Honduras</t>
  </si>
  <si>
    <t>Hong Kong, China</t>
  </si>
  <si>
    <t>Iran, Islamic Republic of</t>
  </si>
  <si>
    <t>Iraq</t>
  </si>
  <si>
    <t>Jamaica</t>
  </si>
  <si>
    <t>Kosovo*</t>
  </si>
  <si>
    <t>Kuwait</t>
  </si>
  <si>
    <t>Lao People's Democratic Republic</t>
  </si>
  <si>
    <t>Lebanon</t>
  </si>
  <si>
    <t>Liberia</t>
  </si>
  <si>
    <t>Libya</t>
  </si>
  <si>
    <t>Liechtenstein</t>
  </si>
  <si>
    <t>Madagascar</t>
  </si>
  <si>
    <t>Marshall Islands</t>
  </si>
  <si>
    <t>Mauritania</t>
  </si>
  <si>
    <t>Moldova, Republic of</t>
  </si>
  <si>
    <t>Namibia</t>
  </si>
  <si>
    <t>Nepal</t>
  </si>
  <si>
    <t>New Caledonia</t>
  </si>
  <si>
    <t>Nigeria</t>
  </si>
  <si>
    <t>Oman</t>
  </si>
  <si>
    <t>Other Asia Oceania</t>
  </si>
  <si>
    <t>Other Europe</t>
  </si>
  <si>
    <t>Other Former Soviet Union</t>
  </si>
  <si>
    <t>Other Non-OECD Americas</t>
  </si>
  <si>
    <t>Papua New Guinea</t>
  </si>
  <si>
    <t>Qatar</t>
  </si>
  <si>
    <t>Sao Tome and Principe</t>
  </si>
  <si>
    <t>Saudi Arabia</t>
  </si>
  <si>
    <t>Sierra Leone</t>
  </si>
  <si>
    <t>South Sudan</t>
  </si>
  <si>
    <t>Sudan</t>
  </si>
  <si>
    <t>Syrian Arab Republic</t>
  </si>
  <si>
    <t>Taiwan / Chinese Taipei</t>
  </si>
  <si>
    <t>Tanzania, United Republic of</t>
  </si>
  <si>
    <t>Timor-Leste</t>
  </si>
  <si>
    <t>Togo</t>
  </si>
  <si>
    <t>Trinidad and Tobago</t>
  </si>
  <si>
    <t>Tunisia</t>
  </si>
  <si>
    <t>Uganda</t>
  </si>
  <si>
    <t>Uruguay</t>
  </si>
  <si>
    <t>Venezuela, Bolivarian Republic</t>
  </si>
  <si>
    <t>* This designation is without prejudice to positions on status, and is line with UNSCR 1244 and the ICJ Opinion on the Kosovo declaration of independence.</t>
  </si>
  <si>
    <t>AD</t>
  </si>
  <si>
    <t>ANDORRA</t>
  </si>
  <si>
    <t>AO</t>
  </si>
  <si>
    <t>ANGOLA</t>
  </si>
  <si>
    <t>AW</t>
  </si>
  <si>
    <t>ARUBA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</si>
  <si>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</si>
  <si>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</si>
  <si>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</si>
  <si>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</si>
  <si>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</si>
  <si>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</si>
  <si>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</si>
  <si>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</si>
  <si>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</si>
  <si>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</si>
  <si>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</si>
  <si>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</si>
  <si>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BO</t>
  </si>
  <si>
    <t>BOLIVIA</t>
  </si>
  <si>
    <t>VG</t>
  </si>
  <si>
    <t>BRITVIRGIN</t>
  </si>
  <si>
    <t>BN</t>
  </si>
  <si>
    <t>BRUNEI</t>
  </si>
  <si>
    <t>KH</t>
  </si>
  <si>
    <t>CAMBODIA</t>
  </si>
  <si>
    <t>CM</t>
  </si>
  <si>
    <t>CAMEROON</t>
  </si>
  <si>
    <t>CV</t>
  </si>
  <si>
    <t>CABOVERDE</t>
  </si>
  <si>
    <t>CG</t>
  </si>
  <si>
    <t>CONGO</t>
  </si>
  <si>
    <t>CR</t>
  </si>
  <si>
    <t>COSTARICA</t>
  </si>
  <si>
    <t>CI</t>
  </si>
  <si>
    <t>COTEIVOIRE</t>
  </si>
  <si>
    <t>CU</t>
  </si>
  <si>
    <t>CUBA</t>
  </si>
  <si>
    <t>CW</t>
  </si>
  <si>
    <t>CURACAO</t>
  </si>
  <si>
    <t>CD</t>
  </si>
  <si>
    <t>CONGOREP</t>
  </si>
  <si>
    <t>DJ</t>
  </si>
  <si>
    <t>DJIBOUTI</t>
  </si>
  <si>
    <t>EC</t>
  </si>
  <si>
    <t>ECUADOR</t>
  </si>
  <si>
    <t>GQ</t>
  </si>
  <si>
    <t>ER</t>
  </si>
  <si>
    <t>ERITREA</t>
  </si>
  <si>
    <t>GA</t>
  </si>
  <si>
    <t>GABON</t>
  </si>
  <si>
    <t>GH</t>
  </si>
  <si>
    <t>GHANA</t>
  </si>
  <si>
    <t>GI</t>
  </si>
  <si>
    <t>GIBRALTAR</t>
  </si>
  <si>
    <t>GW</t>
  </si>
  <si>
    <t>GUINEABIS</t>
  </si>
  <si>
    <t>HN</t>
  </si>
  <si>
    <t>HONDURAS</t>
  </si>
  <si>
    <t>IQ</t>
  </si>
  <si>
    <t>IRAQ</t>
  </si>
  <si>
    <t>JM</t>
  </si>
  <si>
    <t>JAMAICA</t>
  </si>
  <si>
    <t>XK</t>
  </si>
  <si>
    <t>KOSOVO</t>
  </si>
  <si>
    <t>KW</t>
  </si>
  <si>
    <t>KUWAIT</t>
  </si>
  <si>
    <t>LB</t>
  </si>
  <si>
    <t>LEBANON</t>
  </si>
  <si>
    <t>LR</t>
  </si>
  <si>
    <t>LIBERIA</t>
  </si>
  <si>
    <t>LY</t>
  </si>
  <si>
    <t>LIBYA</t>
  </si>
  <si>
    <t>LI</t>
  </si>
  <si>
    <t>LIECHTENST</t>
  </si>
  <si>
    <t>MG</t>
  </si>
  <si>
    <t>MADAGASCAR</t>
  </si>
  <si>
    <t>MH</t>
  </si>
  <si>
    <t>MARSHALL</t>
  </si>
  <si>
    <t>MR</t>
  </si>
  <si>
    <t>MAURITANIA</t>
  </si>
  <si>
    <t>NA</t>
  </si>
  <si>
    <t>NAMIBIA</t>
  </si>
  <si>
    <t>NP</t>
  </si>
  <si>
    <t>NEPAL</t>
  </si>
  <si>
    <t>NC</t>
  </si>
  <si>
    <t>NEWCALEDON</t>
  </si>
  <si>
    <t>NG</t>
  </si>
  <si>
    <t>NIGERIA</t>
  </si>
  <si>
    <t>OM</t>
  </si>
  <si>
    <t>OMAN</t>
  </si>
  <si>
    <t>O8</t>
  </si>
  <si>
    <t>OTHEREUROP</t>
  </si>
  <si>
    <t>P7</t>
  </si>
  <si>
    <t>OTHFUSSR</t>
  </si>
  <si>
    <t>PG</t>
  </si>
  <si>
    <t>PAPUANEWGU</t>
  </si>
  <si>
    <t>QA</t>
  </si>
  <si>
    <t>QATAR</t>
  </si>
  <si>
    <t>ST</t>
  </si>
  <si>
    <t>SAOTOME</t>
  </si>
  <si>
    <t>SA</t>
  </si>
  <si>
    <t>SAUDIARABI</t>
  </si>
  <si>
    <t>SL</t>
  </si>
  <si>
    <t>SIERRALEON</t>
  </si>
  <si>
    <t>SS</t>
  </si>
  <si>
    <t>SSUDAN</t>
  </si>
  <si>
    <t>SD</t>
  </si>
  <si>
    <t>SUDAN</t>
  </si>
  <si>
    <t>SY</t>
  </si>
  <si>
    <t>SYRIA</t>
  </si>
  <si>
    <t>TZ</t>
  </si>
  <si>
    <t>TANZANIA</t>
  </si>
  <si>
    <t>TL</t>
  </si>
  <si>
    <t>TIMORLESTE</t>
  </si>
  <si>
    <t>TG</t>
  </si>
  <si>
    <t>TOGO</t>
  </si>
  <si>
    <t>TT</t>
  </si>
  <si>
    <t>TRINIDAD</t>
  </si>
  <si>
    <t>TN</t>
  </si>
  <si>
    <t>TUNISIA</t>
  </si>
  <si>
    <t>UG</t>
  </si>
  <si>
    <t>UGANDA</t>
  </si>
  <si>
    <t>UY</t>
  </si>
  <si>
    <t>URUGUAY</t>
  </si>
  <si>
    <t xml:space="preserve"> - Enter numbers either whole or up to 3 decimal digits.</t>
  </si>
  <si>
    <t>TAB [Table 1] contains provisional supply data for all coal products including secondary coal products.</t>
  </si>
  <si>
    <t>Niger</t>
  </si>
  <si>
    <t>NIGER</t>
  </si>
  <si>
    <t>NE</t>
  </si>
  <si>
    <t>North Macedonia, Republic of</t>
  </si>
  <si>
    <t>NORTHMACED</t>
  </si>
  <si>
    <t>LAO</t>
  </si>
  <si>
    <t>EQGUINEA</t>
  </si>
  <si>
    <t>TOTEXPST</t>
  </si>
  <si>
    <t>telephone: +33 1 40 57 65 88</t>
  </si>
  <si>
    <t>Statistical Difference</t>
  </si>
  <si>
    <t>Inland consumption (Observed)</t>
  </si>
  <si>
    <t xml:space="preserve">    Transformation sector</t>
  </si>
  <si>
    <t xml:space="preserve">    Energy sector</t>
  </si>
  <si>
    <t xml:space="preserve">    Distribution losses</t>
  </si>
  <si>
    <t xml:space="preserve">    Total final consumption</t>
  </si>
  <si>
    <t xml:space="preserve">        Total final non-energy consumption</t>
  </si>
  <si>
    <t xml:space="preserve">        Total final energy consumption</t>
  </si>
  <si>
    <t xml:space="preserve">            Industry sector</t>
  </si>
  <si>
    <t xml:space="preserve">            Transport sector</t>
  </si>
  <si>
    <t xml:space="preserve">            Other sectors</t>
  </si>
  <si>
    <t xml:space="preserve">                Of which: Residential   </t>
  </si>
  <si>
    <t xml:space="preserve">                Of which: Commercial and public services   </t>
  </si>
  <si>
    <t>STATDIFF</t>
  </si>
  <si>
    <t>TOTTRANF</t>
  </si>
  <si>
    <t>TOTENGY</t>
  </si>
  <si>
    <t>DISTLOSS</t>
  </si>
  <si>
    <t>FINCONS</t>
  </si>
  <si>
    <t>NONENUSE</t>
  </si>
  <si>
    <t>FINECONS</t>
  </si>
  <si>
    <t>TOTTRANS</t>
  </si>
  <si>
    <t>TOTOTHER</t>
  </si>
  <si>
    <t>RESIDENT</t>
  </si>
  <si>
    <t>Explanatory notes</t>
  </si>
  <si>
    <t>Flow</t>
  </si>
  <si>
    <t>Variation</t>
  </si>
  <si>
    <t>Rows “Not elsewhere specified”, “Other Africa”, “Other Asia Oceania”, “Other Europe”, “Other Former Soviet Union”, “Other Near and Middle East”, “Other Non-OECD Americas”: Please specify on the Remarks page.</t>
  </si>
  <si>
    <t>"Total Imports (Trade)" (row 165) should correspond to "Total Imports (Balance)" in Table 1.</t>
  </si>
  <si>
    <t>"Total Exports (Trade)" (row 165) should correspond to "Total Exports (Balance)" in Table 1.</t>
  </si>
  <si>
    <t>TOTIND</t>
  </si>
  <si>
    <t>MTOELEHEAT</t>
  </si>
  <si>
    <t xml:space="preserve">        Of which: input to electricity and heat generation</t>
  </si>
  <si>
    <t>COMMPUB</t>
  </si>
  <si>
    <t>2021E</t>
  </si>
  <si>
    <t>DEADLINE: 25 MAY 2022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</si>
</sst>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#,##0.000"/>
    <numFmt numFmtId="186" formatCode="0.0"/>
    <numFmt numFmtId="187" formatCode="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3">
    <font>
      <sz val="10"/>
      <name val="Arial"/>
      <family val="0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20"/>
      <color indexed="10"/>
      <name val="Wingdings"/>
      <family val="0"/>
    </font>
    <font>
      <sz val="20"/>
      <color indexed="10"/>
      <name val="Arial Black"/>
      <family val="2"/>
    </font>
    <font>
      <sz val="12"/>
      <name val="Comic Sans MS"/>
      <family val="4"/>
    </font>
    <font>
      <b/>
      <sz val="9"/>
      <name val="Arial"/>
      <family val="2"/>
    </font>
    <font>
      <b/>
      <sz val="10"/>
      <name val="Wingdings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8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hair">
        <color indexed="8"/>
      </bottom>
    </border>
    <border>
      <left>
        <color indexed="63"/>
      </left>
      <right style="medium">
        <color indexed="12"/>
      </right>
      <top style="medium">
        <color indexed="12"/>
      </top>
      <bottom style="hair">
        <color indexed="8"/>
      </bottom>
    </border>
    <border>
      <left style="medium">
        <color indexed="12"/>
      </left>
      <right style="thin">
        <color indexed="12"/>
      </right>
      <top>
        <color indexed="63"/>
      </top>
      <bottom style="hair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hair">
        <color indexed="8"/>
      </bottom>
    </border>
    <border>
      <left style="medium">
        <color indexed="12"/>
      </left>
      <right style="thin">
        <color indexed="12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2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 style="hair">
        <color indexed="9"/>
      </bottom>
    </border>
    <border>
      <left style="thin"/>
      <right style="thin"/>
      <top style="hair">
        <color indexed="9"/>
      </top>
      <bottom style="hair">
        <color indexed="9"/>
      </bottom>
    </border>
    <border>
      <left style="thin"/>
      <right style="thin"/>
      <top style="hair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thin">
        <color indexed="12"/>
      </right>
      <top style="hair">
        <color indexed="8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hair">
        <color indexed="8"/>
      </top>
      <bottom style="medium">
        <color indexed="12"/>
      </bottom>
    </border>
    <border>
      <left>
        <color indexed="63"/>
      </left>
      <right style="medium">
        <color indexed="12"/>
      </right>
      <top style="hair">
        <color indexed="8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Continuous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 quotePrefix="1">
      <alignment horizontal="left"/>
    </xf>
    <xf numFmtId="0" fontId="7" fillId="33" borderId="0" xfId="0" applyFont="1" applyFill="1" applyBorder="1" applyAlignment="1" quotePrefix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7" fillId="0" borderId="0" xfId="62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61" applyFont="1" applyAlignment="1" applyProtection="1">
      <alignment horizontal="left" indent="1"/>
      <protection/>
    </xf>
    <xf numFmtId="0" fontId="13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16" xfId="0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2" fillId="35" borderId="0" xfId="0" applyFont="1" applyFill="1" applyAlignment="1" applyProtection="1">
      <alignment horizontal="centerContinuous" vertical="center"/>
      <protection/>
    </xf>
    <xf numFmtId="0" fontId="23" fillId="35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 vertical="center"/>
      <protection/>
    </xf>
    <xf numFmtId="0" fontId="0" fillId="0" borderId="27" xfId="0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1"/>
      <protection/>
    </xf>
    <xf numFmtId="0" fontId="9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29" xfId="0" applyFont="1" applyBorder="1" applyAlignment="1">
      <alignment horizontal="center"/>
    </xf>
    <xf numFmtId="0" fontId="0" fillId="36" borderId="14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Alignment="1">
      <alignment horizontal="right"/>
    </xf>
    <xf numFmtId="0" fontId="28" fillId="33" borderId="0" xfId="0" applyFon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vertical="top" wrapText="1"/>
      <protection/>
    </xf>
    <xf numFmtId="49" fontId="0" fillId="33" borderId="30" xfId="0" applyNumberFormat="1" applyFill="1" applyBorder="1" applyAlignment="1" applyProtection="1">
      <alignment vertical="top" wrapText="1"/>
      <protection locked="0"/>
    </xf>
    <xf numFmtId="0" fontId="0" fillId="33" borderId="30" xfId="0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0" xfId="0" applyFill="1" applyBorder="1" applyAlignment="1" applyProtection="1">
      <alignment horizontal="left"/>
      <protection/>
    </xf>
    <xf numFmtId="0" fontId="28" fillId="33" borderId="28" xfId="0" applyFont="1" applyFill="1" applyBorder="1" applyAlignment="1" applyProtection="1">
      <alignment horizontal="center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0" fillId="33" borderId="37" xfId="0" applyFill="1" applyBorder="1" applyAlignment="1" applyProtection="1">
      <alignment vertical="top" wrapText="1"/>
      <protection/>
    </xf>
    <xf numFmtId="0" fontId="0" fillId="33" borderId="38" xfId="0" applyFill="1" applyBorder="1" applyAlignment="1" applyProtection="1">
      <alignment vertical="top" wrapText="1"/>
      <protection/>
    </xf>
    <xf numFmtId="0" fontId="0" fillId="33" borderId="16" xfId="0" applyFill="1" applyBorder="1" applyAlignment="1" applyProtection="1">
      <alignment vertical="top" wrapText="1"/>
      <protection/>
    </xf>
    <xf numFmtId="0" fontId="0" fillId="33" borderId="39" xfId="0" applyFill="1" applyBorder="1" applyAlignment="1" applyProtection="1">
      <alignment vertical="top" wrapText="1"/>
      <protection/>
    </xf>
    <xf numFmtId="0" fontId="0" fillId="33" borderId="40" xfId="0" applyFill="1" applyBorder="1" applyAlignment="1" applyProtection="1">
      <alignment vertical="top" wrapText="1"/>
      <protection/>
    </xf>
    <xf numFmtId="0" fontId="0" fillId="33" borderId="41" xfId="0" applyFill="1" applyBorder="1" applyAlignment="1" applyProtection="1">
      <alignment vertical="top" wrapText="1"/>
      <protection/>
    </xf>
    <xf numFmtId="49" fontId="0" fillId="0" borderId="42" xfId="0" applyNumberFormat="1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49" fontId="0" fillId="0" borderId="28" xfId="0" applyNumberFormat="1" applyFill="1" applyBorder="1" applyAlignment="1" applyProtection="1">
      <alignment vertical="top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0" fillId="38" borderId="24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left" indent="1"/>
    </xf>
    <xf numFmtId="0" fontId="5" fillId="33" borderId="11" xfId="0" applyFont="1" applyFill="1" applyBorder="1" applyAlignment="1" quotePrefix="1">
      <alignment horizontal="left" indent="1"/>
    </xf>
    <xf numFmtId="0" fontId="6" fillId="33" borderId="11" xfId="0" applyFont="1" applyFill="1" applyBorder="1" applyAlignment="1" quotePrefix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left" indent="2"/>
    </xf>
    <xf numFmtId="0" fontId="0" fillId="36" borderId="14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 wrapText="1"/>
      <protection/>
    </xf>
    <xf numFmtId="0" fontId="30" fillId="0" borderId="11" xfId="0" applyFont="1" applyFill="1" applyBorder="1" applyAlignment="1">
      <alignment horizontal="center"/>
    </xf>
    <xf numFmtId="185" fontId="0" fillId="0" borderId="46" xfId="0" applyNumberFormat="1" applyFont="1" applyFill="1" applyBorder="1" applyAlignment="1" applyProtection="1">
      <alignment/>
      <protection locked="0"/>
    </xf>
    <xf numFmtId="0" fontId="0" fillId="0" borderId="14" xfId="59" applyFont="1" applyFill="1" applyBorder="1" applyAlignment="1">
      <alignment horizontal="left" vertical="center"/>
      <protection/>
    </xf>
    <xf numFmtId="1" fontId="0" fillId="0" borderId="14" xfId="59" applyNumberFormat="1" applyFont="1" applyBorder="1" applyAlignment="1" applyProtection="1" quotePrefix="1">
      <alignment horizontal="center"/>
      <protection/>
    </xf>
    <xf numFmtId="0" fontId="0" fillId="0" borderId="14" xfId="59" applyFont="1" applyFill="1" applyBorder="1" applyAlignment="1">
      <alignment horizontal="left" vertical="center" wrapText="1"/>
      <protection/>
    </xf>
    <xf numFmtId="0" fontId="21" fillId="0" borderId="47" xfId="59" applyFont="1" applyFill="1" applyBorder="1" applyAlignment="1">
      <alignment horizontal="left" vertical="center"/>
      <protection/>
    </xf>
    <xf numFmtId="0" fontId="9" fillId="39" borderId="14" xfId="59" applyFont="1" applyFill="1" applyBorder="1" applyProtection="1">
      <alignment/>
      <protection hidden="1"/>
    </xf>
    <xf numFmtId="0" fontId="15" fillId="0" borderId="0" xfId="59" applyFont="1" applyAlignment="1" applyProtection="1">
      <alignment/>
      <protection hidden="1"/>
    </xf>
    <xf numFmtId="0" fontId="0" fillId="0" borderId="0" xfId="59" applyAlignment="1" applyProtection="1">
      <alignment horizontal="center"/>
      <protection/>
    </xf>
    <xf numFmtId="0" fontId="15" fillId="0" borderId="0" xfId="59" applyFont="1" applyAlignment="1" applyProtection="1">
      <alignment vertical="center"/>
      <protection hidden="1"/>
    </xf>
    <xf numFmtId="0" fontId="9" fillId="33" borderId="0" xfId="57" applyFont="1" applyFill="1" applyAlignment="1">
      <alignment horizontal="right"/>
      <protection/>
    </xf>
    <xf numFmtId="0" fontId="0" fillId="36" borderId="14" xfId="57" applyFill="1" applyBorder="1" applyAlignment="1" applyProtection="1">
      <alignment horizontal="center"/>
      <protection/>
    </xf>
    <xf numFmtId="0" fontId="0" fillId="36" borderId="14" xfId="57" applyFont="1" applyFill="1" applyBorder="1" applyAlignment="1" applyProtection="1">
      <alignment horizontal="center"/>
      <protection/>
    </xf>
    <xf numFmtId="0" fontId="0" fillId="0" borderId="48" xfId="57" applyFont="1" applyBorder="1" applyAlignment="1" applyProtection="1">
      <alignment horizontal="center"/>
      <protection/>
    </xf>
    <xf numFmtId="0" fontId="0" fillId="0" borderId="48" xfId="57" applyFont="1" applyBorder="1" applyProtection="1">
      <alignment/>
      <protection/>
    </xf>
    <xf numFmtId="0" fontId="0" fillId="0" borderId="15" xfId="57" applyFont="1" applyBorder="1" applyAlignment="1" applyProtection="1">
      <alignment horizontal="center"/>
      <protection/>
    </xf>
    <xf numFmtId="0" fontId="0" fillId="0" borderId="15" xfId="57" applyFont="1" applyBorder="1" applyProtection="1">
      <alignment/>
      <protection/>
    </xf>
    <xf numFmtId="0" fontId="0" fillId="0" borderId="17" xfId="57" applyFont="1" applyBorder="1" applyAlignment="1" applyProtection="1">
      <alignment horizontal="center"/>
      <protection/>
    </xf>
    <xf numFmtId="0" fontId="0" fillId="0" borderId="41" xfId="57" applyBorder="1" applyProtection="1">
      <alignment/>
      <protection/>
    </xf>
    <xf numFmtId="185" fontId="9" fillId="39" borderId="14" xfId="60" applyNumberFormat="1" applyFont="1" applyFill="1" applyBorder="1" applyProtection="1">
      <alignment/>
      <protection/>
    </xf>
    <xf numFmtId="0" fontId="9" fillId="39" borderId="14" xfId="58" applyFont="1" applyFill="1" applyBorder="1" applyProtection="1">
      <alignment/>
      <protection hidden="1"/>
    </xf>
    <xf numFmtId="1" fontId="0" fillId="0" borderId="14" xfId="59" applyNumberFormat="1" applyFont="1" applyFill="1" applyBorder="1" applyAlignment="1" applyProtection="1" quotePrefix="1">
      <alignment horizontal="center"/>
      <protection/>
    </xf>
    <xf numFmtId="0" fontId="0" fillId="0" borderId="15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/>
    </xf>
    <xf numFmtId="0" fontId="9" fillId="39" borderId="14" xfId="58" applyFont="1" applyFill="1" applyBorder="1" applyAlignment="1" applyProtection="1">
      <alignment horizontal="center"/>
      <protection hidden="1"/>
    </xf>
    <xf numFmtId="0" fontId="9" fillId="39" borderId="14" xfId="59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69" fillId="40" borderId="0" xfId="0" applyFont="1" applyFill="1" applyBorder="1" applyAlignment="1" applyProtection="1">
      <alignment vertical="center"/>
      <protection/>
    </xf>
    <xf numFmtId="0" fontId="70" fillId="41" borderId="0" xfId="0" applyFont="1" applyFill="1" applyBorder="1" applyAlignment="1" applyProtection="1">
      <alignment vertical="center"/>
      <protection/>
    </xf>
    <xf numFmtId="0" fontId="70" fillId="42" borderId="0" xfId="0" applyFont="1" applyFill="1" applyBorder="1" applyAlignment="1" applyProtection="1">
      <alignment vertical="center"/>
      <protection/>
    </xf>
    <xf numFmtId="0" fontId="70" fillId="43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0" fillId="0" borderId="29" xfId="0" applyFont="1" applyBorder="1" applyAlignment="1" applyProtection="1">
      <alignment vertical="center"/>
      <protection/>
    </xf>
    <xf numFmtId="188" fontId="0" fillId="0" borderId="0" xfId="65" applyNumberFormat="1" applyFont="1" applyFill="1" applyBorder="1" applyAlignment="1" applyProtection="1">
      <alignment/>
      <protection/>
    </xf>
    <xf numFmtId="187" fontId="0" fillId="44" borderId="0" xfId="0" applyNumberFormat="1" applyFill="1" applyBorder="1" applyAlignment="1">
      <alignment horizontal="right"/>
    </xf>
    <xf numFmtId="187" fontId="0" fillId="0" borderId="0" xfId="0" applyNumberFormat="1" applyFill="1" applyBorder="1" applyAlignment="1" applyProtection="1">
      <alignment/>
      <protection locked="0"/>
    </xf>
    <xf numFmtId="0" fontId="71" fillId="45" borderId="0" xfId="0" applyFont="1" applyFill="1" applyBorder="1" applyAlignment="1" applyProtection="1">
      <alignment vertical="center"/>
      <protection/>
    </xf>
    <xf numFmtId="0" fontId="0" fillId="0" borderId="49" xfId="0" applyBorder="1" applyAlignment="1">
      <alignment/>
    </xf>
    <xf numFmtId="187" fontId="0" fillId="44" borderId="49" xfId="0" applyNumberFormat="1" applyFill="1" applyBorder="1" applyAlignment="1">
      <alignment horizontal="right"/>
    </xf>
    <xf numFmtId="187" fontId="0" fillId="0" borderId="49" xfId="0" applyNumberFormat="1" applyFill="1" applyBorder="1" applyAlignment="1" applyProtection="1">
      <alignment/>
      <protection/>
    </xf>
    <xf numFmtId="188" fontId="0" fillId="0" borderId="49" xfId="65" applyNumberFormat="1" applyFont="1" applyFill="1" applyBorder="1" applyAlignment="1" applyProtection="1">
      <alignment/>
      <protection/>
    </xf>
    <xf numFmtId="188" fontId="70" fillId="0" borderId="0" xfId="65" applyNumberFormat="1" applyFont="1" applyFill="1" applyBorder="1" applyAlignment="1" applyProtection="1">
      <alignment/>
      <protection/>
    </xf>
    <xf numFmtId="188" fontId="70" fillId="0" borderId="29" xfId="65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46" borderId="0" xfId="0" applyFill="1" applyAlignment="1">
      <alignment horizontal="left"/>
    </xf>
    <xf numFmtId="0" fontId="0" fillId="46" borderId="49" xfId="0" applyFill="1" applyBorder="1" applyAlignment="1">
      <alignment horizontal="left"/>
    </xf>
    <xf numFmtId="0" fontId="70" fillId="46" borderId="0" xfId="0" applyFont="1" applyFill="1" applyBorder="1" applyAlignment="1">
      <alignment horizontal="left"/>
    </xf>
    <xf numFmtId="0" fontId="70" fillId="46" borderId="29" xfId="0" applyFont="1" applyFill="1" applyBorder="1" applyAlignment="1">
      <alignment horizontal="left"/>
    </xf>
    <xf numFmtId="187" fontId="70" fillId="47" borderId="0" xfId="0" applyNumberFormat="1" applyFont="1" applyFill="1" applyBorder="1" applyAlignment="1">
      <alignment horizontal="right"/>
    </xf>
    <xf numFmtId="187" fontId="72" fillId="47" borderId="0" xfId="0" applyNumberFormat="1" applyFont="1" applyFill="1" applyBorder="1" applyAlignment="1">
      <alignment horizontal="right"/>
    </xf>
    <xf numFmtId="187" fontId="70" fillId="47" borderId="29" xfId="0" applyNumberFormat="1" applyFont="1" applyFill="1" applyBorder="1" applyAlignment="1">
      <alignment horizontal="right"/>
    </xf>
    <xf numFmtId="187" fontId="70" fillId="48" borderId="0" xfId="0" applyNumberFormat="1" applyFont="1" applyFill="1" applyBorder="1" applyAlignment="1" applyProtection="1">
      <alignment vertical="center"/>
      <protection locked="0"/>
    </xf>
    <xf numFmtId="187" fontId="72" fillId="48" borderId="0" xfId="0" applyNumberFormat="1" applyFont="1" applyFill="1" applyBorder="1" applyAlignment="1" applyProtection="1">
      <alignment vertical="center"/>
      <protection locked="0"/>
    </xf>
    <xf numFmtId="187" fontId="70" fillId="0" borderId="0" xfId="0" applyNumberFormat="1" applyFont="1" applyFill="1" applyBorder="1" applyAlignment="1" applyProtection="1">
      <alignment vertical="center"/>
      <protection locked="0"/>
    </xf>
    <xf numFmtId="187" fontId="70" fillId="0" borderId="2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CoalTimeSeries" xfId="60"/>
    <cellStyle name="Normal_OILETAB" xfId="61"/>
    <cellStyle name="Normal_temp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6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ont>
        <color rgb="FFC00000"/>
      </font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ont>
        <color rgb="FFC00000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ont>
        <color rgb="FFC00000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ont>
        <color rgb="FFC00000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1">
    <tabColor rgb="FF00B050"/>
    <pageSetUpPr fitToPage="1"/>
  </sheetPr>
  <dimension ref="C2:C36"/>
  <sheetViews>
    <sheetView tabSelected="1" zoomScale="80" zoomScaleNormal="80" workbookViewId="0" topLeftCell="A1">
      <selection activeCell="H34" sqref="H34"/>
    </sheetView>
  </sheetViews>
  <sheetFormatPr defaultColWidth="9.140625" defaultRowHeight="12.75"/>
  <cols>
    <col min="1" max="2" width="2.421875" style="10" customWidth="1"/>
    <col min="3" max="3" width="87.421875" style="10" customWidth="1"/>
    <col min="4" max="4" width="9.140625" style="10" customWidth="1"/>
    <col min="5" max="5" width="20.57421875" style="10" customWidth="1"/>
    <col min="6" max="16384" width="9.140625" style="10" customWidth="1"/>
  </cols>
  <sheetData>
    <row r="1" ht="13.5" thickBot="1"/>
    <row r="2" s="1" customFormat="1" ht="15">
      <c r="C2" s="3"/>
    </row>
    <row r="3" s="8" customFormat="1" ht="26.25">
      <c r="C3" s="4" t="s">
        <v>0</v>
      </c>
    </row>
    <row r="4" s="1" customFormat="1" ht="15">
      <c r="C4" s="5" t="s">
        <v>145</v>
      </c>
    </row>
    <row r="5" s="1" customFormat="1" ht="15">
      <c r="C5" s="5"/>
    </row>
    <row r="6" s="8" customFormat="1" ht="26.25">
      <c r="C6" s="4" t="str">
        <f>DataYear+1&amp;"p"</f>
        <v>2021p</v>
      </c>
    </row>
    <row r="7" s="1" customFormat="1" ht="15.75">
      <c r="C7" s="6"/>
    </row>
    <row r="8" s="8" customFormat="1" ht="26.25">
      <c r="C8" s="4" t="str">
        <f>Imports!C1</f>
        <v>Australia</v>
      </c>
    </row>
    <row r="9" s="1" customFormat="1" ht="15.75" thickBot="1">
      <c r="C9" s="7"/>
    </row>
    <row r="10" s="1" customFormat="1" ht="15.75" thickBot="1">
      <c r="C10" s="2"/>
    </row>
    <row r="11" ht="12.75">
      <c r="C11" s="9"/>
    </row>
    <row r="12" ht="12.75">
      <c r="C12" s="11" t="s">
        <v>1</v>
      </c>
    </row>
    <row r="13" ht="12.75">
      <c r="C13" s="11"/>
    </row>
    <row r="14" ht="12.75">
      <c r="C14" s="121" t="s">
        <v>642</v>
      </c>
    </row>
    <row r="15" ht="12.75">
      <c r="C15" s="120" t="str">
        <f>"TAB [Imports] refers to Imports by Country of Origin in "&amp;'Table 1'!D4+1&amp;"."</f>
        <v>TAB [Imports] refers to Imports by Country of Origin in 2021.</v>
      </c>
    </row>
    <row r="16" ht="12.75">
      <c r="C16" s="120" t="str">
        <f>"TAB [Exports] refers to Exports by Country of Destination in "&amp;'Table 1'!D4+1&amp;"."</f>
        <v>TAB [Exports] refers to Exports by Country of Destination in 2021.</v>
      </c>
    </row>
    <row r="17" ht="12.75">
      <c r="C17" s="12"/>
    </row>
    <row r="18" ht="12.75">
      <c r="C18" s="124" t="s">
        <v>143</v>
      </c>
    </row>
    <row r="19" ht="12.75">
      <c r="C19" s="125" t="s">
        <v>142</v>
      </c>
    </row>
    <row r="20" ht="12.75">
      <c r="C20" s="119"/>
    </row>
    <row r="21" ht="12.75">
      <c r="C21" s="122" t="s">
        <v>3</v>
      </c>
    </row>
    <row r="22" ht="12.75">
      <c r="C22" s="120" t="str">
        <f>" - Please use the data you submitted this year for "&amp;'Table 1'!D4&amp;" as your guide for filling "&amp;'Table 1'!E4&amp;"."</f>
        <v> - Please use the data you submitted this year for 2020 as your guide for filling 2021E.</v>
      </c>
    </row>
    <row r="23" s="13" customFormat="1" ht="12.75">
      <c r="C23" s="121" t="s">
        <v>641</v>
      </c>
    </row>
    <row r="24" s="13" customFormat="1" ht="12.75">
      <c r="C24" s="123" t="s">
        <v>395</v>
      </c>
    </row>
    <row r="25" s="13" customFormat="1" ht="12.75">
      <c r="C25" s="120" t="s">
        <v>157</v>
      </c>
    </row>
    <row r="26" s="13" customFormat="1" ht="12.75">
      <c r="C26" s="121" t="s">
        <v>396</v>
      </c>
    </row>
    <row r="27" s="13" customFormat="1" ht="13.5" thickBot="1">
      <c r="C27" s="14"/>
    </row>
    <row r="28" s="13" customFormat="1" ht="13.5" thickBot="1">
      <c r="C28" s="15"/>
    </row>
    <row r="29" s="13" customFormat="1" ht="12.75">
      <c r="C29" s="16"/>
    </row>
    <row r="30" s="13" customFormat="1" ht="26.25">
      <c r="C30" s="23" t="s">
        <v>686</v>
      </c>
    </row>
    <row r="31" ht="12.75">
      <c r="C31" s="22"/>
    </row>
    <row r="32" ht="12.75">
      <c r="C32" s="17" t="s">
        <v>373</v>
      </c>
    </row>
    <row r="33" s="1" customFormat="1" ht="21.75" customHeight="1">
      <c r="C33" s="129" t="s">
        <v>2</v>
      </c>
    </row>
    <row r="34" ht="18" customHeight="1">
      <c r="C34" s="17" t="s">
        <v>651</v>
      </c>
    </row>
    <row r="35" ht="12.75">
      <c r="C35" s="17" t="s">
        <v>348</v>
      </c>
    </row>
    <row r="36" ht="13.5" thickBot="1">
      <c r="C36" s="18"/>
    </row>
    <row r="121" ht="12.75"/>
    <row r="125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2"/>
  <headerFooter alignWithMargins="0">
    <oddFooter>&amp;LInternational Energy Agency&amp;CEnergy Statistics Division&amp;RAnnual Coal Mini Questionnaire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2">
    <pageSetUpPr fitToPage="1"/>
  </sheetPr>
  <dimension ref="B1:M344"/>
  <sheetViews>
    <sheetView showGridLines="0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0" sqref="M30"/>
    </sheetView>
  </sheetViews>
  <sheetFormatPr defaultColWidth="9.140625" defaultRowHeight="12.75"/>
  <cols>
    <col min="1" max="1" width="2.57421875" style="0" customWidth="1"/>
    <col min="2" max="2" width="15.8515625" style="0" customWidth="1"/>
    <col min="3" max="3" width="45.7109375" style="0" customWidth="1"/>
    <col min="4" max="4" width="10.57421875" style="0" bestFit="1" customWidth="1"/>
    <col min="5" max="5" width="9.421875" style="0" bestFit="1" customWidth="1"/>
    <col min="6" max="6" width="9.421875" style="0" customWidth="1"/>
    <col min="7" max="7" width="30.57421875" style="183" customWidth="1"/>
    <col min="8" max="8" width="31.8515625" style="182" customWidth="1"/>
    <col min="9" max="9" width="8.00390625" style="0" customWidth="1"/>
    <col min="10" max="10" width="12.57421875" style="0" customWidth="1"/>
    <col min="11" max="11" width="12.140625" style="0" customWidth="1"/>
  </cols>
  <sheetData>
    <row r="1" spans="2:10" s="21" customFormat="1" ht="15">
      <c r="B1" s="200" t="s">
        <v>350</v>
      </c>
      <c r="C1" s="200"/>
      <c r="D1" s="200"/>
      <c r="E1" s="200"/>
      <c r="F1" s="200"/>
      <c r="G1" s="200"/>
      <c r="H1" s="200"/>
      <c r="J1" s="73" t="s">
        <v>235</v>
      </c>
    </row>
    <row r="2" spans="2:10" s="21" customFormat="1" ht="15" customHeight="1">
      <c r="B2" s="201" t="s">
        <v>349</v>
      </c>
      <c r="C2" s="201"/>
      <c r="D2" s="201"/>
      <c r="E2" s="201"/>
      <c r="F2" s="201"/>
      <c r="G2" s="201"/>
      <c r="H2" s="201"/>
      <c r="J2" s="72" t="s">
        <v>238</v>
      </c>
    </row>
    <row r="3" spans="2:8" s="21" customFormat="1" ht="30.75" customHeight="1">
      <c r="B3" s="199" t="str">
        <f>Data!B1</f>
        <v>Australia</v>
      </c>
      <c r="C3" s="199"/>
      <c r="D3" s="199"/>
      <c r="E3" s="199"/>
      <c r="F3" s="199"/>
      <c r="G3" s="199"/>
      <c r="H3" s="199"/>
    </row>
    <row r="4" spans="2:13" ht="21.75" customHeight="1" thickBot="1">
      <c r="B4" s="75" t="s">
        <v>237</v>
      </c>
      <c r="C4" s="75" t="s">
        <v>676</v>
      </c>
      <c r="D4" s="75">
        <f>Data!B2</f>
        <v>2020</v>
      </c>
      <c r="E4" s="75" t="str">
        <f>Data!C2</f>
        <v>2021E</v>
      </c>
      <c r="F4" s="75" t="s">
        <v>677</v>
      </c>
      <c r="G4" s="75" t="s">
        <v>441</v>
      </c>
      <c r="H4" s="75" t="s">
        <v>675</v>
      </c>
      <c r="J4" s="73" t="s">
        <v>236</v>
      </c>
      <c r="K4" s="73" t="s">
        <v>237</v>
      </c>
      <c r="M4" s="21"/>
    </row>
    <row r="5" spans="2:13" ht="12.75" customHeight="1">
      <c r="B5" s="196" t="s">
        <v>154</v>
      </c>
      <c r="C5" s="74" t="s">
        <v>351</v>
      </c>
      <c r="D5" s="169">
        <f>IF(C5="Inland consumpion (Observed)",SUM(D6,D8,D9,D10),_xlfn.IFERROR(VLOOKUP(CONCATENATE('Table 1'!$K5,".",'Table 1'!$J5),Data!$A$3:$C$330,2,FALSE),0))</f>
        <v>0</v>
      </c>
      <c r="E5" s="170"/>
      <c r="F5" s="168">
        <f>IF(D5=0,IF(E5&lt;&gt;0,"new value",""),IF(ISBLANK(E5),"",E5/D5-1))</f>
      </c>
      <c r="G5" s="184">
        <f>IF(E5&lt;0,"ERROR! Do not enter negative numbers","")</f>
      </c>
      <c r="H5" s="178"/>
      <c r="J5" t="s">
        <v>239</v>
      </c>
      <c r="K5" t="s">
        <v>150</v>
      </c>
      <c r="M5" s="71"/>
    </row>
    <row r="6" spans="2:13" ht="12.75" customHeight="1">
      <c r="B6" s="197"/>
      <c r="C6" s="74" t="s">
        <v>362</v>
      </c>
      <c r="D6" s="169">
        <f>IF(C6="Inland consumpion (Observed)",SUM(D7,D9,D10,D11),_xlfn.IFERROR(VLOOKUP(CONCATENATE('Table 1'!$K6,".",'Table 1'!$J6),Data!$A$3:$C$330,2,FALSE),0))</f>
        <v>0</v>
      </c>
      <c r="E6" s="170"/>
      <c r="F6" s="168">
        <f aca="true" t="shared" si="0" ref="F6:F125">IF(D6=0,IF(E6&lt;&gt;0,"new value",""),IF(ISBLANK(E6),"",E6/D6-1))</f>
      </c>
      <c r="G6" s="184">
        <f>IF(E6&lt;0,"ERROR! Do not enter negative numbers","")</f>
      </c>
      <c r="H6" s="178"/>
      <c r="J6" t="s">
        <v>240</v>
      </c>
      <c r="K6" t="s">
        <v>150</v>
      </c>
      <c r="L6" s="71"/>
      <c r="M6" s="71"/>
    </row>
    <row r="7" spans="2:11" ht="12.75" customHeight="1">
      <c r="B7" s="197"/>
      <c r="C7" s="74" t="s">
        <v>363</v>
      </c>
      <c r="D7" s="169">
        <f>IF(C7="Inland consumpion (Observed)",SUM(D8,D10,D11,D12),_xlfn.IFERROR(VLOOKUP(CONCATENATE('Table 1'!$K7,".",'Table 1'!$J7),Data!$A$3:$C$330,2,FALSE),0))</f>
        <v>0</v>
      </c>
      <c r="E7" s="170"/>
      <c r="F7" s="168">
        <f t="shared" si="0"/>
      </c>
      <c r="G7" s="184">
        <f>IF(ABS(E7-Imports!E$170)&gt;2,"ERROR: Import Total &lt;&gt; country sum ± 2","")</f>
      </c>
      <c r="H7" s="178"/>
      <c r="J7" t="s">
        <v>241</v>
      </c>
      <c r="K7" t="s">
        <v>150</v>
      </c>
    </row>
    <row r="8" spans="2:11" ht="12.75" customHeight="1">
      <c r="B8" s="197"/>
      <c r="C8" s="74" t="s">
        <v>364</v>
      </c>
      <c r="D8" s="169">
        <f>IF(C8="Inland consumpion (Observed)",SUM(D9,D11,D12,D13),_xlfn.IFERROR(VLOOKUP(CONCATENATE('Table 1'!$K8,".",'Table 1'!$J8),Data!$A$3:$C$330,2,FALSE),0))</f>
        <v>0</v>
      </c>
      <c r="E8" s="170"/>
      <c r="F8" s="168">
        <f t="shared" si="0"/>
      </c>
      <c r="G8" s="184">
        <f>IF(E8-Exports!E$170&lt;&gt;0,"ERROR: Export Total &lt;&gt; country sum ± 2","")</f>
      </c>
      <c r="H8" s="178"/>
      <c r="J8" t="s">
        <v>242</v>
      </c>
      <c r="K8" t="s">
        <v>150</v>
      </c>
    </row>
    <row r="9" spans="2:11" ht="12.75" customHeight="1">
      <c r="B9" s="197"/>
      <c r="C9" s="74" t="s">
        <v>365</v>
      </c>
      <c r="D9" s="169">
        <f>IF(C9="Inland consumpion (Observed)",SUM(D10,D12,D13,D14),_xlfn.IFERROR(VLOOKUP(CONCATENATE('Table 1'!$K9,".",'Table 1'!$J9),Data!$A$3:$C$330,2,FALSE),0))</f>
        <v>0</v>
      </c>
      <c r="E9" s="170"/>
      <c r="F9" s="168">
        <f t="shared" si="0"/>
      </c>
      <c r="G9" s="184"/>
      <c r="H9" s="178"/>
      <c r="J9" t="s">
        <v>243</v>
      </c>
      <c r="K9" t="s">
        <v>150</v>
      </c>
    </row>
    <row r="10" spans="2:11" ht="12.75" customHeight="1">
      <c r="B10" s="197"/>
      <c r="C10" s="172" t="s">
        <v>366</v>
      </c>
      <c r="D10" s="173">
        <f>IF(C10="Inland consumpion (Observed)",SUM(D11,D13,D14,D15),_xlfn.IFERROR(VLOOKUP(CONCATENATE('Table 1'!$K10,".",'Table 1'!$J10),Data!$A$3:$C$330,2,FALSE),0))</f>
        <v>0</v>
      </c>
      <c r="E10" s="174">
        <f>E5+E6+E7-E8+E9</f>
        <v>0</v>
      </c>
      <c r="F10" s="175">
        <f t="shared" si="0"/>
      </c>
      <c r="G10" s="185">
        <f>IF(E10=E5+E6+E7-E8+E9,IF(E10&lt;0,"WARNING! Negative consumption!",""),"ERROR! Please recalculate.")</f>
      </c>
      <c r="H10" s="179"/>
      <c r="J10" t="s">
        <v>244</v>
      </c>
      <c r="K10" t="s">
        <v>150</v>
      </c>
    </row>
    <row r="11" spans="2:11" ht="12.75" customHeight="1">
      <c r="B11" s="197"/>
      <c r="C11" s="171" t="s">
        <v>652</v>
      </c>
      <c r="D11" s="188">
        <f>IF(C11="Inland consumpion (Observed)",SUM(D12,D14,D15,D16),_xlfn.IFERROR(VLOOKUP(CONCATENATE('Table 1'!$K11,".",'Table 1'!$J11),Data!$A$3:$C$330,2,FALSE),0))</f>
        <v>0</v>
      </c>
      <c r="E11" s="191">
        <f>E10-E12</f>
        <v>0</v>
      </c>
      <c r="F11" s="176">
        <f t="shared" si="0"/>
      </c>
      <c r="G11" s="186">
        <f>IF(E11&lt;&gt;(E10-E12),"ERROR! STATDIFF does not equal Inland Consumption (Calculated) - Inland Consumption (Observed)","")</f>
      </c>
      <c r="H11" s="180"/>
      <c r="J11" s="158" t="s">
        <v>665</v>
      </c>
      <c r="K11" s="158" t="s">
        <v>150</v>
      </c>
    </row>
    <row r="12" spans="2:11" ht="12.75" customHeight="1">
      <c r="B12" s="197"/>
      <c r="C12" s="162" t="s">
        <v>653</v>
      </c>
      <c r="D12" s="189">
        <f>IF(C12="Inland consumpion (Observed)",SUM(D13,D15,D16,D17),_xlfn.IFERROR(VLOOKUP(CONCATENATE('Table 1'!$K12,".",'Table 1'!$J12),Data!$A$3:$C$330,2,FALSE),0))</f>
        <v>0</v>
      </c>
      <c r="E12" s="192">
        <f>SUM(E13,E15,E16,E17)</f>
        <v>0</v>
      </c>
      <c r="F12" s="176">
        <f t="shared" si="0"/>
      </c>
      <c r="G12" s="186">
        <f>IF(E12&lt;0,"ERROR! Do not enter negative numbers",IF(E12&lt;&gt;SUM(E13,E15,E16,E17),"ERROR: Inland consumption (observed) does not equal Transformation + Energy sector + Distribution losses + TFC",""))</f>
      </c>
      <c r="H12" s="180"/>
      <c r="J12" s="161"/>
      <c r="K12" s="161" t="s">
        <v>150</v>
      </c>
    </row>
    <row r="13" spans="2:11" ht="12.75" customHeight="1">
      <c r="B13" s="197"/>
      <c r="C13" s="163" t="s">
        <v>654</v>
      </c>
      <c r="D13" s="188">
        <f>IF(C13="Inland consumpion (Observed)",SUM(D14,D16,D17,D18),_xlfn.IFERROR(VLOOKUP(CONCATENATE('Table 1'!$K13,".",'Table 1'!$J13),Data!$A$3:$C$330,2,FALSE),0))</f>
        <v>0</v>
      </c>
      <c r="E13" s="193"/>
      <c r="F13" s="176">
        <f t="shared" si="0"/>
      </c>
      <c r="G13" s="186">
        <f>IF(E13&lt;0,"ERROR! Do not enter negative numbers",IF(E13&lt;E14,"ERROR: The subtotal Transformation cannot be less than of which: input to electricity and heat generation",""))</f>
      </c>
      <c r="H13" s="180"/>
      <c r="J13" s="159" t="s">
        <v>666</v>
      </c>
      <c r="K13" s="159" t="s">
        <v>150</v>
      </c>
    </row>
    <row r="14" spans="2:11" ht="12.75" customHeight="1">
      <c r="B14" s="197"/>
      <c r="C14" s="165" t="s">
        <v>683</v>
      </c>
      <c r="D14" s="188">
        <f>IF(C14="Inland consumpion (Observed)",SUM(D15,D17,D18,D19),_xlfn.IFERROR(VLOOKUP(CONCATENATE('Table 1'!$K14,".",'Table 1'!$J14),Data!$A$3:$C$330,2,FALSE),0))</f>
        <v>0</v>
      </c>
      <c r="E14" s="193"/>
      <c r="F14" s="176">
        <f t="shared" si="0"/>
      </c>
      <c r="G14" s="186">
        <f>IF(E14&lt;0,"ERROR! Do not enter negative numbers",IF(E14&gt;E13,"ERROR: This item cannot be higher than the subtotal Transformation",""))</f>
      </c>
      <c r="H14" s="180"/>
      <c r="J14" s="195" t="s">
        <v>682</v>
      </c>
      <c r="K14" s="159" t="s">
        <v>150</v>
      </c>
    </row>
    <row r="15" spans="2:11" ht="12.75" customHeight="1">
      <c r="B15" s="197"/>
      <c r="C15" s="163" t="s">
        <v>655</v>
      </c>
      <c r="D15" s="188">
        <f>IF(C15="Inland consumpion (Observed)",SUM(D16,D18,D19,D20),_xlfn.IFERROR(VLOOKUP(CONCATENATE('Table 1'!$K15,".",'Table 1'!$J15),Data!$A$3:$C$330,2,FALSE),0))</f>
        <v>0</v>
      </c>
      <c r="E15" s="193"/>
      <c r="F15" s="176">
        <f t="shared" si="0"/>
      </c>
      <c r="G15" s="186">
        <f>IF(E15&lt;0,"ERROR! Do not enter negative numbers","")</f>
      </c>
      <c r="H15" s="180"/>
      <c r="J15" s="159" t="s">
        <v>667</v>
      </c>
      <c r="K15" s="159" t="s">
        <v>150</v>
      </c>
    </row>
    <row r="16" spans="2:11" ht="12.75" customHeight="1">
      <c r="B16" s="197"/>
      <c r="C16" s="163" t="s">
        <v>656</v>
      </c>
      <c r="D16" s="188">
        <f>IF(C16="Inland consumpion (Observed)",SUM(D17,D19,D20,D21),_xlfn.IFERROR(VLOOKUP(CONCATENATE('Table 1'!$K16,".",'Table 1'!$J16),Data!$A$3:$C$330,2,FALSE),0))</f>
        <v>0</v>
      </c>
      <c r="E16" s="193"/>
      <c r="F16" s="176">
        <f t="shared" si="0"/>
      </c>
      <c r="G16" s="186">
        <f>IF(E16&lt;0,"ERROR! Do not enter negative numbers","")</f>
      </c>
      <c r="H16" s="180"/>
      <c r="J16" s="159" t="s">
        <v>668</v>
      </c>
      <c r="K16" s="159" t="s">
        <v>150</v>
      </c>
    </row>
    <row r="17" spans="2:11" ht="12.75" customHeight="1">
      <c r="B17" s="197"/>
      <c r="C17" s="163" t="s">
        <v>657</v>
      </c>
      <c r="D17" s="188">
        <f>IF(C17="Inland consumpion (Observed)",SUM(D18,D20,D21,D22),_xlfn.IFERROR(VLOOKUP(CONCATENATE('Table 1'!$K17,".",'Table 1'!$J17),Data!$A$3:$C$330,2,FALSE),0))</f>
        <v>0</v>
      </c>
      <c r="E17" s="191">
        <f>SUM(E18:E19)</f>
        <v>0</v>
      </c>
      <c r="F17" s="176">
        <f t="shared" si="0"/>
      </c>
      <c r="G17" s="186">
        <f>IF(E17&lt;0,"ERROR! Do not enter negative numbers",IF(E17&lt;&gt;SUM(E18:E19),"ERROR: TFC does not equal Total Final Non-Energy Consumption + Total Final Energy Consumption",""))</f>
      </c>
      <c r="H17" s="180"/>
      <c r="J17" s="159" t="s">
        <v>669</v>
      </c>
      <c r="K17" s="159" t="s">
        <v>150</v>
      </c>
    </row>
    <row r="18" spans="2:11" ht="12.75" customHeight="1">
      <c r="B18" s="197"/>
      <c r="C18" s="164" t="s">
        <v>658</v>
      </c>
      <c r="D18" s="188">
        <f>IF(C18="Inland consumpion (Observed)",SUM(D19,D21,D22,D23),_xlfn.IFERROR(VLOOKUP(CONCATENATE('Table 1'!$K18,".",'Table 1'!$J18),Data!$A$3:$C$330,2,FALSE),0))</f>
        <v>0</v>
      </c>
      <c r="E18" s="193"/>
      <c r="F18" s="176">
        <f t="shared" si="0"/>
      </c>
      <c r="G18" s="186">
        <f>IF(E18&lt;0,"ERROR! Do not enter negative numbers","")</f>
      </c>
      <c r="H18" s="180"/>
      <c r="J18" s="159" t="s">
        <v>670</v>
      </c>
      <c r="K18" s="159" t="s">
        <v>150</v>
      </c>
    </row>
    <row r="19" spans="2:11" ht="12.75" customHeight="1">
      <c r="B19" s="197"/>
      <c r="C19" s="164" t="s">
        <v>659</v>
      </c>
      <c r="D19" s="188">
        <f>IF(C19="Inland consumpion (Observed)",SUM(D20,D22,D23,D24),_xlfn.IFERROR(VLOOKUP(CONCATENATE('Table 1'!$K19,".",'Table 1'!$J19),Data!$A$3:$C$330,2,FALSE),0))</f>
        <v>0</v>
      </c>
      <c r="E19" s="191">
        <f>SUM(E20:E22)</f>
        <v>0</v>
      </c>
      <c r="F19" s="176">
        <f t="shared" si="0"/>
      </c>
      <c r="G19" s="186">
        <f>IF(E19&lt;0,"ERROR! Do not enter negative numbers",IF(E19&lt;&gt;SUM(E20:E22),"ERROR: Total Final Energy Consumption does not equal Industry + Transport + Other sectors",""))</f>
      </c>
      <c r="H19" s="180"/>
      <c r="J19" s="159" t="s">
        <v>671</v>
      </c>
      <c r="K19" s="159" t="s">
        <v>150</v>
      </c>
    </row>
    <row r="20" spans="2:11" ht="12.75" customHeight="1">
      <c r="B20" s="197"/>
      <c r="C20" s="165" t="s">
        <v>660</v>
      </c>
      <c r="D20" s="188">
        <f>IF(C20="Inland consumpion (Observed)",SUM(D21,D23,D24,D25),_xlfn.IFERROR(VLOOKUP(CONCATENATE('Table 1'!$K20,".",'Table 1'!$J20),Data!$A$3:$C$330,2,FALSE),0))</f>
        <v>0</v>
      </c>
      <c r="E20" s="193"/>
      <c r="F20" s="176">
        <f t="shared" si="0"/>
      </c>
      <c r="G20" s="186">
        <f>IF(E20&lt;0,"ERROR! Do not enter negative numbers","")</f>
      </c>
      <c r="H20" s="180"/>
      <c r="J20" s="159" t="s">
        <v>681</v>
      </c>
      <c r="K20" s="159" t="s">
        <v>150</v>
      </c>
    </row>
    <row r="21" spans="2:11" ht="12.75" customHeight="1">
      <c r="B21" s="197"/>
      <c r="C21" s="165" t="s">
        <v>661</v>
      </c>
      <c r="D21" s="188">
        <f>IF(C21="Inland consumpion (Observed)",SUM(D22,D24,D25,D26),_xlfn.IFERROR(VLOOKUP(CONCATENATE('Table 1'!$K21,".",'Table 1'!$J21),Data!$A$3:$C$330,2,FALSE),0))</f>
        <v>0</v>
      </c>
      <c r="E21" s="193"/>
      <c r="F21" s="176">
        <f t="shared" si="0"/>
      </c>
      <c r="G21" s="186">
        <f>IF(E21&lt;0,"ERROR! Do not enter negative numbers","")</f>
      </c>
      <c r="H21" s="180"/>
      <c r="J21" s="159" t="s">
        <v>672</v>
      </c>
      <c r="K21" s="159" t="s">
        <v>150</v>
      </c>
    </row>
    <row r="22" spans="2:11" ht="12.75" customHeight="1">
      <c r="B22" s="197"/>
      <c r="C22" s="165" t="s">
        <v>662</v>
      </c>
      <c r="D22" s="188">
        <f>IF(C22="Inland consumpion (Observed)",SUM(D23,D25,D26,D27),_xlfn.IFERROR(VLOOKUP(CONCATENATE('Table 1'!$K22,".",'Table 1'!$J22),Data!$A$3:$C$330,2,FALSE),0))</f>
        <v>0</v>
      </c>
      <c r="E22" s="193"/>
      <c r="F22" s="176">
        <f t="shared" si="0"/>
      </c>
      <c r="G22" s="186">
        <f>IF(E22&lt;0,"ERROR! Do not enter negative numbers",IF(E22&lt;SUM(E23:E24),"ERROR: The subtotal Other Sectors cannot be less than the sum of Residential + Commercial &amp;  Public services",""))</f>
      </c>
      <c r="H22" s="180"/>
      <c r="J22" s="159" t="s">
        <v>673</v>
      </c>
      <c r="K22" s="159" t="s">
        <v>150</v>
      </c>
    </row>
    <row r="23" spans="2:11" ht="12.75" customHeight="1">
      <c r="B23" s="197"/>
      <c r="C23" s="166" t="s">
        <v>663</v>
      </c>
      <c r="D23" s="188">
        <f>IF(C23="Inland consumpion (Observed)",SUM(D24,D26,D27,D28),_xlfn.IFERROR(VLOOKUP(CONCATENATE('Table 1'!$K23,".",'Table 1'!$J23),Data!$A$3:$C$330,2,FALSE),0))</f>
        <v>0</v>
      </c>
      <c r="E23" s="193"/>
      <c r="F23" s="176">
        <f t="shared" si="0"/>
      </c>
      <c r="G23" s="186">
        <f>IF(E23&lt;0,"ERROR! Do not enter negative numbers","")</f>
      </c>
      <c r="H23" s="180"/>
      <c r="J23" s="159" t="s">
        <v>674</v>
      </c>
      <c r="K23" s="159" t="s">
        <v>150</v>
      </c>
    </row>
    <row r="24" spans="2:11" ht="12.75" customHeight="1" thickBot="1">
      <c r="B24" s="198"/>
      <c r="C24" s="167" t="s">
        <v>664</v>
      </c>
      <c r="D24" s="190">
        <f>IF(C24="Inland consumpion (Observed)",SUM(D25,D27,D28,D29),_xlfn.IFERROR(VLOOKUP(CONCATENATE('Table 1'!$K24,".",'Table 1'!$J24),Data!$A$3:$C$330,2,FALSE),0))</f>
        <v>0</v>
      </c>
      <c r="E24" s="194"/>
      <c r="F24" s="177">
        <f t="shared" si="0"/>
      </c>
      <c r="G24" s="187">
        <f>IF(E24&lt;0,"ERROR! Do not enter negative numbers","")</f>
      </c>
      <c r="H24" s="181"/>
      <c r="J24" s="160" t="s">
        <v>684</v>
      </c>
      <c r="K24" s="160" t="s">
        <v>150</v>
      </c>
    </row>
    <row r="25" spans="2:11" ht="12.75" customHeight="1">
      <c r="B25" s="196" t="s">
        <v>352</v>
      </c>
      <c r="C25" s="74" t="s">
        <v>351</v>
      </c>
      <c r="D25" s="169">
        <f>IF(C25="Inland consumpion (Observed)",SUM(D26,D28,D29,D30),_xlfn.IFERROR(VLOOKUP(CONCATENATE('Table 1'!$K25,".",'Table 1'!$J25),Data!$A$3:$C$330,2,FALSE),0))</f>
        <v>0</v>
      </c>
      <c r="E25" s="170"/>
      <c r="F25" s="168">
        <f t="shared" si="0"/>
      </c>
      <c r="G25" s="184">
        <f>IF(E25&lt;0,"ERROR! Do not enter negative numbers","")</f>
      </c>
      <c r="H25" s="178"/>
      <c r="J25" t="s">
        <v>239</v>
      </c>
      <c r="K25" t="s">
        <v>5</v>
      </c>
    </row>
    <row r="26" spans="2:11" ht="12.75" customHeight="1">
      <c r="B26" s="197"/>
      <c r="C26" s="74" t="s">
        <v>362</v>
      </c>
      <c r="D26" s="169">
        <f>IF(C26="Inland consumpion (Observed)",SUM(D27,D29,D30,D31),_xlfn.IFERROR(VLOOKUP(CONCATENATE('Table 1'!$K26,".",'Table 1'!$J26),Data!$A$3:$C$330,2,FALSE),0))</f>
        <v>0</v>
      </c>
      <c r="E26" s="170"/>
      <c r="F26" s="168">
        <f t="shared" si="0"/>
      </c>
      <c r="G26" s="184">
        <f>IF(E26&lt;0,"ERROR! Do not enter negative numbers","")</f>
      </c>
      <c r="H26" s="178"/>
      <c r="J26" t="s">
        <v>240</v>
      </c>
      <c r="K26" t="s">
        <v>5</v>
      </c>
    </row>
    <row r="27" spans="2:11" ht="12.75" customHeight="1">
      <c r="B27" s="197"/>
      <c r="C27" s="74" t="s">
        <v>363</v>
      </c>
      <c r="D27" s="169">
        <f>IF(C27="Inland consumpion (Observed)",SUM(D28,D30,D31,D32),_xlfn.IFERROR(VLOOKUP(CONCATENATE('Table 1'!$K27,".",'Table 1'!$J27),Data!$A$3:$C$330,2,FALSE),0))</f>
        <v>0</v>
      </c>
      <c r="E27" s="170"/>
      <c r="F27" s="168">
        <f t="shared" si="0"/>
      </c>
      <c r="G27" s="184">
        <f>IF(ABS(E27-Imports!F$170)&gt;2,"ERROR: Import Total &lt;&gt; country sum ± 2","")</f>
      </c>
      <c r="H27" s="178"/>
      <c r="J27" t="s">
        <v>241</v>
      </c>
      <c r="K27" t="s">
        <v>5</v>
      </c>
    </row>
    <row r="28" spans="2:11" ht="12.75" customHeight="1">
      <c r="B28" s="197"/>
      <c r="C28" s="74" t="s">
        <v>364</v>
      </c>
      <c r="D28" s="169">
        <f>IF(C28="Inland consumpion (Observed)",SUM(D29,D31,D32,D33),_xlfn.IFERROR(VLOOKUP(CONCATENATE('Table 1'!$K28,".",'Table 1'!$J28),Data!$A$3:$C$330,2,FALSE),0))</f>
        <v>0</v>
      </c>
      <c r="E28" s="170"/>
      <c r="F28" s="168">
        <f t="shared" si="0"/>
      </c>
      <c r="G28" s="184">
        <f>IF(E28-Exports!F$170&lt;&gt;0,"ERROR: Export Total &lt;&gt; country sum ± 2","")</f>
      </c>
      <c r="H28" s="178"/>
      <c r="J28" t="s">
        <v>242</v>
      </c>
      <c r="K28" t="s">
        <v>5</v>
      </c>
    </row>
    <row r="29" spans="2:11" ht="12.75" customHeight="1">
      <c r="B29" s="197"/>
      <c r="C29" s="74" t="s">
        <v>365</v>
      </c>
      <c r="D29" s="169">
        <f>IF(C29="Inland consumpion (Observed)",SUM(D30,D32,D33,D34),_xlfn.IFERROR(VLOOKUP(CONCATENATE('Table 1'!$K29,".",'Table 1'!$J29),Data!$A$3:$C$330,2,FALSE),0))</f>
        <v>0</v>
      </c>
      <c r="E29" s="170"/>
      <c r="F29" s="168">
        <f t="shared" si="0"/>
      </c>
      <c r="G29" s="184"/>
      <c r="H29" s="178"/>
      <c r="J29" t="s">
        <v>243</v>
      </c>
      <c r="K29" t="s">
        <v>5</v>
      </c>
    </row>
    <row r="30" spans="2:11" ht="12.75" customHeight="1">
      <c r="B30" s="197"/>
      <c r="C30" s="172" t="s">
        <v>366</v>
      </c>
      <c r="D30" s="173">
        <f>IF(C30="Inland consumpion (Observed)",SUM(D31,D33,D34,D35),_xlfn.IFERROR(VLOOKUP(CONCATENATE('Table 1'!$K30,".",'Table 1'!$J30),Data!$A$3:$C$330,2,FALSE),0))</f>
        <v>0</v>
      </c>
      <c r="E30" s="174">
        <f>E25+E26+E27-E28+E29</f>
        <v>0</v>
      </c>
      <c r="F30" s="175">
        <f t="shared" si="0"/>
      </c>
      <c r="G30" s="185">
        <f>IF(E30=E25+E26+E27-E28+E29,IF(E30&lt;0,"WARNING! Negative consumption!",""),"ERROR! Please recalculate.")</f>
      </c>
      <c r="H30" s="179"/>
      <c r="J30" t="s">
        <v>244</v>
      </c>
      <c r="K30" t="s">
        <v>5</v>
      </c>
    </row>
    <row r="31" spans="2:11" ht="12.75" customHeight="1">
      <c r="B31" s="197"/>
      <c r="C31" s="171" t="s">
        <v>652</v>
      </c>
      <c r="D31" s="188">
        <f>IF(C31="Inland consumpion (Observed)",SUM(D32,D34,D35,D36),_xlfn.IFERROR(VLOOKUP(CONCATENATE('Table 1'!$K31,".",'Table 1'!$J31),Data!$A$3:$C$330,2,FALSE),0))</f>
        <v>0</v>
      </c>
      <c r="E31" s="191">
        <f>E30-E32</f>
        <v>0</v>
      </c>
      <c r="F31" s="176">
        <f t="shared" si="0"/>
      </c>
      <c r="G31" s="186">
        <f>IF(E31&lt;&gt;(E30-E32),"ERROR! STATDIFF does not equal Inland Consumption (Calculated) - Inland Consumption (Observed)","")</f>
      </c>
      <c r="H31" s="180"/>
      <c r="J31" s="158" t="s">
        <v>665</v>
      </c>
      <c r="K31" s="158" t="s">
        <v>5</v>
      </c>
    </row>
    <row r="32" spans="2:11" ht="12.75" customHeight="1">
      <c r="B32" s="197"/>
      <c r="C32" s="162" t="s">
        <v>653</v>
      </c>
      <c r="D32" s="189">
        <f>IF(C32="Inland consumpion (Observed)",SUM(D33,D35,D36,D37),_xlfn.IFERROR(VLOOKUP(CONCATENATE('Table 1'!$K32,".",'Table 1'!$J32),Data!$A$3:$C$330,2,FALSE),0))</f>
        <v>0</v>
      </c>
      <c r="E32" s="192">
        <f>SUM(E33,E35,E36,E37)</f>
        <v>0</v>
      </c>
      <c r="F32" s="176">
        <f t="shared" si="0"/>
      </c>
      <c r="G32" s="186">
        <f>IF(E32&lt;0,"ERROR! Do not enter negative numbers",IF(E32&lt;&gt;SUM(E33,E35,E36,E37),"ERROR: Inland consumption (observed) does not equal Transformation + Energy sector + Distribution losses + TFC",""))</f>
      </c>
      <c r="H32" s="180"/>
      <c r="J32" s="161"/>
      <c r="K32" s="161" t="s">
        <v>5</v>
      </c>
    </row>
    <row r="33" spans="2:11" ht="12.75" customHeight="1">
      <c r="B33" s="197"/>
      <c r="C33" s="163" t="s">
        <v>654</v>
      </c>
      <c r="D33" s="188">
        <f>IF(C33="Inland consumpion (Observed)",SUM(D34,D36,D37,D38),_xlfn.IFERROR(VLOOKUP(CONCATENATE('Table 1'!$K33,".",'Table 1'!$J33),Data!$A$3:$C$330,2,FALSE),0))</f>
        <v>0</v>
      </c>
      <c r="E33" s="193"/>
      <c r="F33" s="176">
        <f t="shared" si="0"/>
      </c>
      <c r="G33" s="186">
        <f>IF(E33&lt;0,"ERROR! Do not enter negative numbers",IF(E33&lt;E34,"ERROR: The subtotal Transformation cannot be less than of which: input to electricity and heat generation",""))</f>
      </c>
      <c r="H33" s="180"/>
      <c r="J33" s="159" t="s">
        <v>666</v>
      </c>
      <c r="K33" s="159" t="s">
        <v>5</v>
      </c>
    </row>
    <row r="34" spans="2:11" ht="12.75" customHeight="1">
      <c r="B34" s="197"/>
      <c r="C34" s="165" t="s">
        <v>683</v>
      </c>
      <c r="D34" s="188">
        <f>IF(C34="Inland consumpion (Observed)",SUM(D35,D37,D38,D39),_xlfn.IFERROR(VLOOKUP(CONCATENATE('Table 1'!$K34,".",'Table 1'!$J34),Data!$A$3:$C$330,2,FALSE),0))</f>
        <v>0</v>
      </c>
      <c r="E34" s="193"/>
      <c r="F34" s="176">
        <f t="shared" si="0"/>
      </c>
      <c r="G34" s="186">
        <f>IF(E34&lt;0,"ERROR! Do not enter negative numbers",IF(E34&gt;E33,"ERROR: This item cannot be higher than the subtotal Transformation",""))</f>
      </c>
      <c r="H34" s="180"/>
      <c r="J34" s="195" t="s">
        <v>682</v>
      </c>
      <c r="K34" s="159" t="s">
        <v>5</v>
      </c>
    </row>
    <row r="35" spans="2:11" ht="12.75" customHeight="1">
      <c r="B35" s="197"/>
      <c r="C35" s="163" t="s">
        <v>655</v>
      </c>
      <c r="D35" s="188">
        <f>IF(C35="Inland consumpion (Observed)",SUM(D36,D38,D39,D40),_xlfn.IFERROR(VLOOKUP(CONCATENATE('Table 1'!$K35,".",'Table 1'!$J35),Data!$A$3:$C$330,2,FALSE),0))</f>
        <v>0</v>
      </c>
      <c r="E35" s="193"/>
      <c r="F35" s="176">
        <f t="shared" si="0"/>
      </c>
      <c r="G35" s="186">
        <f>IF(E35&lt;0,"ERROR! Do not enter negative numbers","")</f>
      </c>
      <c r="H35" s="180"/>
      <c r="J35" s="159" t="s">
        <v>667</v>
      </c>
      <c r="K35" s="159" t="s">
        <v>5</v>
      </c>
    </row>
    <row r="36" spans="2:11" ht="12.75" customHeight="1">
      <c r="B36" s="197"/>
      <c r="C36" s="163" t="s">
        <v>656</v>
      </c>
      <c r="D36" s="188">
        <f>IF(C36="Inland consumpion (Observed)",SUM(D37,D39,D40,D41),_xlfn.IFERROR(VLOOKUP(CONCATENATE('Table 1'!$K36,".",'Table 1'!$J36),Data!$A$3:$C$330,2,FALSE),0))</f>
        <v>0</v>
      </c>
      <c r="E36" s="193"/>
      <c r="F36" s="176">
        <f t="shared" si="0"/>
      </c>
      <c r="G36" s="186">
        <f>IF(E36&lt;0,"ERROR! Do not enter negative numbers","")</f>
      </c>
      <c r="H36" s="180"/>
      <c r="J36" s="159" t="s">
        <v>668</v>
      </c>
      <c r="K36" s="159" t="s">
        <v>5</v>
      </c>
    </row>
    <row r="37" spans="2:11" ht="12.75" customHeight="1">
      <c r="B37" s="197"/>
      <c r="C37" s="163" t="s">
        <v>657</v>
      </c>
      <c r="D37" s="188">
        <f>IF(C37="Inland consumpion (Observed)",SUM(D38,D40,D41,D42),_xlfn.IFERROR(VLOOKUP(CONCATENATE('Table 1'!$K37,".",'Table 1'!$J37),Data!$A$3:$C$330,2,FALSE),0))</f>
        <v>0</v>
      </c>
      <c r="E37" s="191">
        <f>SUM(E38:E39)</f>
        <v>0</v>
      </c>
      <c r="F37" s="176">
        <f t="shared" si="0"/>
      </c>
      <c r="G37" s="186">
        <f>IF(E37&lt;0,"ERROR! Do not enter negative numbers",IF(E37&lt;&gt;SUM(E38:E39),"ERROR: TFC does not equal Total Final Non-Energy Consumption + Total Final Energy Consumption",""))</f>
      </c>
      <c r="H37" s="180"/>
      <c r="J37" s="159" t="s">
        <v>669</v>
      </c>
      <c r="K37" s="159" t="s">
        <v>5</v>
      </c>
    </row>
    <row r="38" spans="2:11" ht="12.75" customHeight="1">
      <c r="B38" s="197"/>
      <c r="C38" s="164" t="s">
        <v>658</v>
      </c>
      <c r="D38" s="188">
        <f>IF(C38="Inland consumpion (Observed)",SUM(D39,D41,D42,D43),_xlfn.IFERROR(VLOOKUP(CONCATENATE('Table 1'!$K38,".",'Table 1'!$J38),Data!$A$3:$C$330,2,FALSE),0))</f>
        <v>0</v>
      </c>
      <c r="E38" s="193"/>
      <c r="F38" s="176">
        <f t="shared" si="0"/>
      </c>
      <c r="G38" s="186">
        <f>IF(E38&lt;0,"ERROR! Do not enter negative numbers","")</f>
      </c>
      <c r="H38" s="180"/>
      <c r="J38" s="159" t="s">
        <v>670</v>
      </c>
      <c r="K38" s="159" t="s">
        <v>5</v>
      </c>
    </row>
    <row r="39" spans="2:11" ht="12.75" customHeight="1">
      <c r="B39" s="197"/>
      <c r="C39" s="164" t="s">
        <v>659</v>
      </c>
      <c r="D39" s="188">
        <f>IF(C39="Inland consumpion (Observed)",SUM(D40,D42,D43,D44),_xlfn.IFERROR(VLOOKUP(CONCATENATE('Table 1'!$K39,".",'Table 1'!$J39),Data!$A$3:$C$330,2,FALSE),0))</f>
        <v>0</v>
      </c>
      <c r="E39" s="191">
        <f>SUM(E40:E42)</f>
        <v>0</v>
      </c>
      <c r="F39" s="176">
        <f t="shared" si="0"/>
      </c>
      <c r="G39" s="186">
        <f>IF(E39&lt;0,"ERROR! Do not enter negative numbers",IF(E39&lt;&gt;SUM(E40:E42),"ERROR: Total Final Energy Consumption does not equal Industry + Transport + Other sectors",""))</f>
      </c>
      <c r="H39" s="180"/>
      <c r="J39" s="159" t="s">
        <v>671</v>
      </c>
      <c r="K39" s="159" t="s">
        <v>5</v>
      </c>
    </row>
    <row r="40" spans="2:11" ht="12.75" customHeight="1">
      <c r="B40" s="197"/>
      <c r="C40" s="165" t="s">
        <v>660</v>
      </c>
      <c r="D40" s="188">
        <f>IF(C40="Inland consumpion (Observed)",SUM(D41,D43,D44,D45),_xlfn.IFERROR(VLOOKUP(CONCATENATE('Table 1'!$K40,".",'Table 1'!$J40),Data!$A$3:$C$330,2,FALSE),0))</f>
        <v>0</v>
      </c>
      <c r="E40" s="193"/>
      <c r="F40" s="176">
        <f t="shared" si="0"/>
      </c>
      <c r="G40" s="186">
        <f>IF(E40&lt;0,"ERROR! Do not enter negative numbers","")</f>
      </c>
      <c r="H40" s="180"/>
      <c r="J40" s="159" t="s">
        <v>681</v>
      </c>
      <c r="K40" s="159" t="s">
        <v>5</v>
      </c>
    </row>
    <row r="41" spans="2:11" ht="12.75" customHeight="1">
      <c r="B41" s="197"/>
      <c r="C41" s="165" t="s">
        <v>661</v>
      </c>
      <c r="D41" s="188">
        <f>IF(C41="Inland consumpion (Observed)",SUM(D42,D44,D45,D46),_xlfn.IFERROR(VLOOKUP(CONCATENATE('Table 1'!$K41,".",'Table 1'!$J41),Data!$A$3:$C$330,2,FALSE),0))</f>
        <v>0</v>
      </c>
      <c r="E41" s="193"/>
      <c r="F41" s="176">
        <f t="shared" si="0"/>
      </c>
      <c r="G41" s="186">
        <f>IF(E41&lt;0,"ERROR! Do not enter negative numbers","")</f>
      </c>
      <c r="H41" s="180"/>
      <c r="J41" s="159" t="s">
        <v>672</v>
      </c>
      <c r="K41" s="159" t="s">
        <v>5</v>
      </c>
    </row>
    <row r="42" spans="2:11" ht="12.75" customHeight="1">
      <c r="B42" s="197"/>
      <c r="C42" s="165" t="s">
        <v>662</v>
      </c>
      <c r="D42" s="188">
        <f>IF(C42="Inland consumpion (Observed)",SUM(D43,D45,D46,D47),_xlfn.IFERROR(VLOOKUP(CONCATENATE('Table 1'!$K42,".",'Table 1'!$J42),Data!$A$3:$C$330,2,FALSE),0))</f>
        <v>0</v>
      </c>
      <c r="E42" s="193"/>
      <c r="F42" s="176">
        <f t="shared" si="0"/>
      </c>
      <c r="G42" s="186">
        <f>IF(E42&lt;0,"ERROR! Do not enter negative numbers",IF(E42&lt;SUM(E43:E44),"ERROR: The subtotal Other Sectors cannot be less than the sum of Residential + Commercial &amp;  Public services",""))</f>
      </c>
      <c r="H42" s="180"/>
      <c r="J42" s="159" t="s">
        <v>673</v>
      </c>
      <c r="K42" s="159" t="s">
        <v>5</v>
      </c>
    </row>
    <row r="43" spans="2:11" ht="12.75" customHeight="1">
      <c r="B43" s="197"/>
      <c r="C43" s="166" t="s">
        <v>663</v>
      </c>
      <c r="D43" s="188">
        <f>IF(C43="Inland consumpion (Observed)",SUM(D44,D46,D47,D48),_xlfn.IFERROR(VLOOKUP(CONCATENATE('Table 1'!$K43,".",'Table 1'!$J43),Data!$A$3:$C$330,2,FALSE),0))</f>
        <v>0</v>
      </c>
      <c r="E43" s="193"/>
      <c r="F43" s="176">
        <f t="shared" si="0"/>
      </c>
      <c r="G43" s="186">
        <f>IF(E43&lt;0,"ERROR! Do not enter negative numbers","")</f>
      </c>
      <c r="H43" s="180"/>
      <c r="J43" s="159" t="s">
        <v>674</v>
      </c>
      <c r="K43" s="159" t="s">
        <v>5</v>
      </c>
    </row>
    <row r="44" spans="2:11" ht="12.75" customHeight="1" thickBot="1">
      <c r="B44" s="198"/>
      <c r="C44" s="167" t="s">
        <v>664</v>
      </c>
      <c r="D44" s="190">
        <f>IF(C44="Inland consumpion (Observed)",SUM(D45,D47,D48,D49),_xlfn.IFERROR(VLOOKUP(CONCATENATE('Table 1'!$K44,".",'Table 1'!$J44),Data!$A$3:$C$330,2,FALSE),0))</f>
        <v>0</v>
      </c>
      <c r="E44" s="194"/>
      <c r="F44" s="177">
        <f t="shared" si="0"/>
      </c>
      <c r="G44" s="187">
        <f>IF(E44&lt;0,"ERROR! Do not enter negative numbers","")</f>
      </c>
      <c r="H44" s="181"/>
      <c r="J44" s="160" t="s">
        <v>684</v>
      </c>
      <c r="K44" s="160" t="s">
        <v>5</v>
      </c>
    </row>
    <row r="45" spans="2:11" ht="12.75" customHeight="1">
      <c r="B45" s="196" t="s">
        <v>353</v>
      </c>
      <c r="C45" s="74" t="str">
        <f aca="true" t="shared" si="1" ref="C45:C50">C25</f>
        <v>Indigenous production</v>
      </c>
      <c r="D45" s="169">
        <f>IF(C45="Inland consumpion (Observed)",SUM(D46,D48,D49,D50),_xlfn.IFERROR(VLOOKUP(CONCATENATE('Table 1'!$K45,".",'Table 1'!$J45),Data!$A$3:$C$330,2,FALSE),0))</f>
        <v>0</v>
      </c>
      <c r="E45" s="170"/>
      <c r="F45" s="168">
        <f t="shared" si="0"/>
      </c>
      <c r="G45" s="184">
        <f>IF(E45&lt;0,"ERROR! Do not enter negative numbers","")</f>
      </c>
      <c r="H45" s="178"/>
      <c r="J45" t="s">
        <v>239</v>
      </c>
      <c r="K45" t="s">
        <v>6</v>
      </c>
    </row>
    <row r="46" spans="2:11" ht="12.75" customHeight="1">
      <c r="B46" s="197"/>
      <c r="C46" s="74" t="str">
        <f t="shared" si="1"/>
        <v>From other sources</v>
      </c>
      <c r="D46" s="169">
        <f>IF(C46="Inland consumpion (Observed)",SUM(D47,D49,D50,D51),_xlfn.IFERROR(VLOOKUP(CONCATENATE('Table 1'!$K46,".",'Table 1'!$J46),Data!$A$3:$C$330,2,FALSE),0))</f>
        <v>0</v>
      </c>
      <c r="E46" s="170"/>
      <c r="F46" s="168">
        <f t="shared" si="0"/>
      </c>
      <c r="G46" s="184">
        <f>IF(E46&lt;0,"ERROR! Do not enter negative numbers","")</f>
      </c>
      <c r="H46" s="178"/>
      <c r="J46" t="s">
        <v>240</v>
      </c>
      <c r="K46" t="s">
        <v>6</v>
      </c>
    </row>
    <row r="47" spans="2:11" ht="12.75" customHeight="1">
      <c r="B47" s="197"/>
      <c r="C47" s="74" t="str">
        <f t="shared" si="1"/>
        <v>Total imports (Balance)</v>
      </c>
      <c r="D47" s="169">
        <f>IF(C47="Inland consumpion (Observed)",SUM(D48,D50,D51,D52),_xlfn.IFERROR(VLOOKUP(CONCATENATE('Table 1'!$K47,".",'Table 1'!$J47),Data!$A$3:$C$330,2,FALSE),0))</f>
        <v>0</v>
      </c>
      <c r="E47" s="170"/>
      <c r="F47" s="168">
        <f t="shared" si="0"/>
      </c>
      <c r="G47" s="184">
        <f>IF(ABS(E47-Imports!G$170)&gt;2,"ERROR: Import Total &lt;&gt; country sum ± 2","")</f>
      </c>
      <c r="H47" s="178"/>
      <c r="J47" t="s">
        <v>241</v>
      </c>
      <c r="K47" t="s">
        <v>6</v>
      </c>
    </row>
    <row r="48" spans="2:11" ht="12.75" customHeight="1">
      <c r="B48" s="197"/>
      <c r="C48" s="74" t="str">
        <f t="shared" si="1"/>
        <v>Total exports (Balance)</v>
      </c>
      <c r="D48" s="169">
        <f>IF(C48="Inland consumpion (Observed)",SUM(D49,D51,D52,D53),_xlfn.IFERROR(VLOOKUP(CONCATENATE('Table 1'!$K48,".",'Table 1'!$J48),Data!$A$3:$C$330,2,FALSE),0))</f>
        <v>0</v>
      </c>
      <c r="E48" s="170"/>
      <c r="F48" s="168">
        <f t="shared" si="0"/>
      </c>
      <c r="G48" s="184">
        <f>IF(E48-Exports!G$170&lt;&gt;0,"ERROR: Export Total &lt;&gt; country sum ± 2","")</f>
      </c>
      <c r="H48" s="178"/>
      <c r="J48" t="s">
        <v>242</v>
      </c>
      <c r="K48" t="s">
        <v>6</v>
      </c>
    </row>
    <row r="49" spans="2:11" ht="12.75" customHeight="1">
      <c r="B49" s="197"/>
      <c r="C49" s="74" t="str">
        <f t="shared" si="1"/>
        <v>Stock changes (National territory)</v>
      </c>
      <c r="D49" s="169">
        <f>IF(C49="Inland consumpion (Observed)",SUM(D50,D52,D53,D54),_xlfn.IFERROR(VLOOKUP(CONCATENATE('Table 1'!$K49,".",'Table 1'!$J49),Data!$A$3:$C$330,2,FALSE),0))</f>
        <v>0</v>
      </c>
      <c r="E49" s="170"/>
      <c r="F49" s="168">
        <f t="shared" si="0"/>
      </c>
      <c r="G49" s="184"/>
      <c r="H49" s="178"/>
      <c r="J49" t="s">
        <v>243</v>
      </c>
      <c r="K49" t="s">
        <v>6</v>
      </c>
    </row>
    <row r="50" spans="2:11" ht="12.75" customHeight="1">
      <c r="B50" s="197"/>
      <c r="C50" s="172" t="str">
        <f t="shared" si="1"/>
        <v>Inland consumption (calculated)</v>
      </c>
      <c r="D50" s="173">
        <f>IF(C50="Inland consumpion (Observed)",SUM(D51,D53,D54,D55),_xlfn.IFERROR(VLOOKUP(CONCATENATE('Table 1'!$K50,".",'Table 1'!$J50),Data!$A$3:$C$330,2,FALSE),0))</f>
        <v>0</v>
      </c>
      <c r="E50" s="174">
        <f>E45+E46+E47-E48+E49</f>
        <v>0</v>
      </c>
      <c r="F50" s="175">
        <f t="shared" si="0"/>
      </c>
      <c r="G50" s="185">
        <f>IF(E50=E45+E46+E47-E48+E49,IF(E50&lt;0,"WARNING! Negative consumption!",""),"ERROR! Please recalculate.")</f>
      </c>
      <c r="H50" s="179"/>
      <c r="J50" t="s">
        <v>244</v>
      </c>
      <c r="K50" t="s">
        <v>6</v>
      </c>
    </row>
    <row r="51" spans="2:11" ht="12.75" customHeight="1">
      <c r="B51" s="197"/>
      <c r="C51" s="171" t="s">
        <v>652</v>
      </c>
      <c r="D51" s="188">
        <f>IF(C51="Inland consumpion (Observed)",SUM(D52,D54,D55,D56),_xlfn.IFERROR(VLOOKUP(CONCATENATE('Table 1'!$K51,".",'Table 1'!$J51),Data!$A$3:$C$330,2,FALSE),0))</f>
        <v>0</v>
      </c>
      <c r="E51" s="191">
        <f>E50-E52</f>
        <v>0</v>
      </c>
      <c r="F51" s="176">
        <f t="shared" si="0"/>
      </c>
      <c r="G51" s="186">
        <f>IF(E51&lt;&gt;(E50-E52),"ERROR! STATDIFF does not equal Inland Consumption (Calculated) - Inland Consumption (Observed)","")</f>
      </c>
      <c r="H51" s="180"/>
      <c r="J51" s="158" t="s">
        <v>665</v>
      </c>
      <c r="K51" s="158" t="s">
        <v>6</v>
      </c>
    </row>
    <row r="52" spans="2:11" ht="12.75" customHeight="1">
      <c r="B52" s="197"/>
      <c r="C52" s="162" t="s">
        <v>653</v>
      </c>
      <c r="D52" s="189">
        <f>IF(C52="Inland consumpion (Observed)",SUM(D53,D55,D56,D57),_xlfn.IFERROR(VLOOKUP(CONCATENATE('Table 1'!$K52,".",'Table 1'!$J52),Data!$A$3:$C$330,2,FALSE),0))</f>
        <v>0</v>
      </c>
      <c r="E52" s="192">
        <f>SUM(E53,E55,E56,E57)</f>
        <v>0</v>
      </c>
      <c r="F52" s="176">
        <f t="shared" si="0"/>
      </c>
      <c r="G52" s="186">
        <f>IF(E52&lt;0,"ERROR! Do not enter negative numbers",IF(E52&lt;&gt;SUM(E53,E55,E56,E57),"ERROR: Inland consumption (observed) does not equal Transformation + Energy sector + Distribution losses + TFC",""))</f>
      </c>
      <c r="H52" s="180"/>
      <c r="J52" s="161"/>
      <c r="K52" s="161" t="s">
        <v>6</v>
      </c>
    </row>
    <row r="53" spans="2:11" ht="12.75" customHeight="1">
      <c r="B53" s="197"/>
      <c r="C53" s="163" t="s">
        <v>654</v>
      </c>
      <c r="D53" s="188">
        <f>IF(C53="Inland consumpion (Observed)",SUM(D54,D56,D57,D58),_xlfn.IFERROR(VLOOKUP(CONCATENATE('Table 1'!$K53,".",'Table 1'!$J53),Data!$A$3:$C$330,2,FALSE),0))</f>
        <v>0</v>
      </c>
      <c r="E53" s="193"/>
      <c r="F53" s="176">
        <f t="shared" si="0"/>
      </c>
      <c r="G53" s="186">
        <f>IF(E53&lt;0,"ERROR! Do not enter negative numbers",IF(E53&lt;E54,"ERROR: The subtotal Transformation cannot be less than of which: input to electricity and heat generation",""))</f>
      </c>
      <c r="H53" s="180"/>
      <c r="J53" s="159" t="s">
        <v>666</v>
      </c>
      <c r="K53" s="159" t="s">
        <v>6</v>
      </c>
    </row>
    <row r="54" spans="2:11" ht="12.75" customHeight="1">
      <c r="B54" s="197"/>
      <c r="C54" s="165" t="s">
        <v>683</v>
      </c>
      <c r="D54" s="188">
        <f>IF(C54="Inland consumpion (Observed)",SUM(D55,D57,D58,D59),_xlfn.IFERROR(VLOOKUP(CONCATENATE('Table 1'!$K54,".",'Table 1'!$J54),Data!$A$3:$C$330,2,FALSE),0))</f>
        <v>0</v>
      </c>
      <c r="E54" s="193"/>
      <c r="F54" s="176">
        <f t="shared" si="0"/>
      </c>
      <c r="G54" s="186">
        <f>IF(E54&lt;0,"ERROR! Do not enter negative numbers",IF(E54&gt;E53,"ERROR: This item cannot be higher than the subtotal Transformation",""))</f>
      </c>
      <c r="H54" s="180"/>
      <c r="J54" s="195" t="s">
        <v>682</v>
      </c>
      <c r="K54" s="159" t="s">
        <v>6</v>
      </c>
    </row>
    <row r="55" spans="2:11" ht="12.75" customHeight="1">
      <c r="B55" s="197"/>
      <c r="C55" s="163" t="s">
        <v>655</v>
      </c>
      <c r="D55" s="188">
        <f>IF(C55="Inland consumpion (Observed)",SUM(D56,D58,D59,D60),_xlfn.IFERROR(VLOOKUP(CONCATENATE('Table 1'!$K55,".",'Table 1'!$J55),Data!$A$3:$C$330,2,FALSE),0))</f>
        <v>0</v>
      </c>
      <c r="E55" s="193"/>
      <c r="F55" s="176">
        <f t="shared" si="0"/>
      </c>
      <c r="G55" s="186">
        <f>IF(E55&lt;0,"ERROR! Do not enter negative numbers","")</f>
      </c>
      <c r="H55" s="180"/>
      <c r="J55" s="159" t="s">
        <v>667</v>
      </c>
      <c r="K55" s="159" t="s">
        <v>6</v>
      </c>
    </row>
    <row r="56" spans="2:11" ht="12.75" customHeight="1">
      <c r="B56" s="197"/>
      <c r="C56" s="163" t="s">
        <v>656</v>
      </c>
      <c r="D56" s="188">
        <f>IF(C56="Inland consumpion (Observed)",SUM(D57,D59,D60,D61),_xlfn.IFERROR(VLOOKUP(CONCATENATE('Table 1'!$K56,".",'Table 1'!$J56),Data!$A$3:$C$330,2,FALSE),0))</f>
        <v>0</v>
      </c>
      <c r="E56" s="193"/>
      <c r="F56" s="176">
        <f t="shared" si="0"/>
      </c>
      <c r="G56" s="186">
        <f>IF(E56&lt;0,"ERROR! Do not enter negative numbers","")</f>
      </c>
      <c r="H56" s="180"/>
      <c r="J56" s="159" t="s">
        <v>668</v>
      </c>
      <c r="K56" s="159" t="s">
        <v>6</v>
      </c>
    </row>
    <row r="57" spans="2:11" ht="12.75" customHeight="1">
      <c r="B57" s="197"/>
      <c r="C57" s="163" t="s">
        <v>657</v>
      </c>
      <c r="D57" s="188">
        <f>IF(C57="Inland consumpion (Observed)",SUM(D58,D60,D61,D62),_xlfn.IFERROR(VLOOKUP(CONCATENATE('Table 1'!$K57,".",'Table 1'!$J57),Data!$A$3:$C$330,2,FALSE),0))</f>
        <v>0</v>
      </c>
      <c r="E57" s="191">
        <f>SUM(E58:E59)</f>
        <v>0</v>
      </c>
      <c r="F57" s="176">
        <f t="shared" si="0"/>
      </c>
      <c r="G57" s="186">
        <f>IF(E57&lt;0,"ERROR! Do not enter negative numbers",IF(E57&lt;&gt;SUM(E58:E59),"ERROR: TFC does not equal Total Final Non-Energy Consumption + Total Final Energy Consumption",""))</f>
      </c>
      <c r="H57" s="180"/>
      <c r="J57" s="159" t="s">
        <v>669</v>
      </c>
      <c r="K57" s="159" t="s">
        <v>6</v>
      </c>
    </row>
    <row r="58" spans="2:11" ht="12.75" customHeight="1">
      <c r="B58" s="197"/>
      <c r="C58" s="164" t="s">
        <v>658</v>
      </c>
      <c r="D58" s="188">
        <f>IF(C58="Inland consumpion (Observed)",SUM(D59,D61,D62,D63),_xlfn.IFERROR(VLOOKUP(CONCATENATE('Table 1'!$K58,".",'Table 1'!$J58),Data!$A$3:$C$330,2,FALSE),0))</f>
        <v>0</v>
      </c>
      <c r="E58" s="193"/>
      <c r="F58" s="176">
        <f t="shared" si="0"/>
      </c>
      <c r="G58" s="186">
        <f>IF(E58&lt;0,"ERROR! Do not enter negative numbers","")</f>
      </c>
      <c r="H58" s="180"/>
      <c r="J58" s="159" t="s">
        <v>670</v>
      </c>
      <c r="K58" s="159" t="s">
        <v>6</v>
      </c>
    </row>
    <row r="59" spans="2:11" ht="12.75" customHeight="1">
      <c r="B59" s="197"/>
      <c r="C59" s="164" t="s">
        <v>659</v>
      </c>
      <c r="D59" s="188">
        <f>IF(C59="Inland consumpion (Observed)",SUM(D60,D62,D63,D64),_xlfn.IFERROR(VLOOKUP(CONCATENATE('Table 1'!$K59,".",'Table 1'!$J59),Data!$A$3:$C$330,2,FALSE),0))</f>
        <v>0</v>
      </c>
      <c r="E59" s="191">
        <f>SUM(E60:E62)</f>
        <v>0</v>
      </c>
      <c r="F59" s="176">
        <f t="shared" si="0"/>
      </c>
      <c r="G59" s="186">
        <f>IF(E59&lt;0,"ERROR! Do not enter negative numbers",IF(E59&lt;&gt;SUM(E60:E62),"ERROR: Total Final Energy Consumption does not equal Industry + Transport + Other sectors",""))</f>
      </c>
      <c r="H59" s="180"/>
      <c r="J59" s="159" t="s">
        <v>671</v>
      </c>
      <c r="K59" s="159" t="s">
        <v>6</v>
      </c>
    </row>
    <row r="60" spans="2:11" ht="12.75" customHeight="1">
      <c r="B60" s="197"/>
      <c r="C60" s="165" t="s">
        <v>660</v>
      </c>
      <c r="D60" s="188">
        <f>IF(C60="Inland consumpion (Observed)",SUM(D61,D63,D64,D65),_xlfn.IFERROR(VLOOKUP(CONCATENATE('Table 1'!$K60,".",'Table 1'!$J60),Data!$A$3:$C$330,2,FALSE),0))</f>
        <v>0</v>
      </c>
      <c r="E60" s="193"/>
      <c r="F60" s="176">
        <f t="shared" si="0"/>
      </c>
      <c r="G60" s="186">
        <f>IF(E60&lt;0,"ERROR! Do not enter negative numbers","")</f>
      </c>
      <c r="H60" s="180"/>
      <c r="J60" s="159" t="s">
        <v>681</v>
      </c>
      <c r="K60" s="159" t="s">
        <v>6</v>
      </c>
    </row>
    <row r="61" spans="2:11" ht="12.75" customHeight="1">
      <c r="B61" s="197"/>
      <c r="C61" s="165" t="s">
        <v>661</v>
      </c>
      <c r="D61" s="188">
        <f>IF(C61="Inland consumpion (Observed)",SUM(D62,D64,D65,D66),_xlfn.IFERROR(VLOOKUP(CONCATENATE('Table 1'!$K61,".",'Table 1'!$J61),Data!$A$3:$C$330,2,FALSE),0))</f>
        <v>0</v>
      </c>
      <c r="E61" s="193"/>
      <c r="F61" s="176">
        <f t="shared" si="0"/>
      </c>
      <c r="G61" s="186">
        <f>IF(E61&lt;0,"ERROR! Do not enter negative numbers","")</f>
      </c>
      <c r="H61" s="180"/>
      <c r="J61" s="159" t="s">
        <v>672</v>
      </c>
      <c r="K61" s="159" t="s">
        <v>6</v>
      </c>
    </row>
    <row r="62" spans="2:11" ht="12.75" customHeight="1">
      <c r="B62" s="197"/>
      <c r="C62" s="165" t="s">
        <v>662</v>
      </c>
      <c r="D62" s="188">
        <f>IF(C62="Inland consumpion (Observed)",SUM(D63,D65,D66,D67),_xlfn.IFERROR(VLOOKUP(CONCATENATE('Table 1'!$K62,".",'Table 1'!$J62),Data!$A$3:$C$330,2,FALSE),0))</f>
        <v>0</v>
      </c>
      <c r="E62" s="193"/>
      <c r="F62" s="176">
        <f t="shared" si="0"/>
      </c>
      <c r="G62" s="186">
        <f>IF(E62&lt;0,"ERROR! Do not enter negative numbers",IF(E62&lt;SUM(E63:E64),"ERROR: The subtotal Other Sectors cannot be less than the sum of Residential + Commercial &amp;  Public services",""))</f>
      </c>
      <c r="H62" s="180"/>
      <c r="J62" s="159" t="s">
        <v>673</v>
      </c>
      <c r="K62" s="159" t="s">
        <v>6</v>
      </c>
    </row>
    <row r="63" spans="2:11" ht="12.75" customHeight="1">
      <c r="B63" s="197"/>
      <c r="C63" s="166" t="s">
        <v>663</v>
      </c>
      <c r="D63" s="188">
        <f>IF(C63="Inland consumpion (Observed)",SUM(D64,D66,D67,D68),_xlfn.IFERROR(VLOOKUP(CONCATENATE('Table 1'!$K63,".",'Table 1'!$J63),Data!$A$3:$C$330,2,FALSE),0))</f>
        <v>0</v>
      </c>
      <c r="E63" s="193"/>
      <c r="F63" s="176">
        <f t="shared" si="0"/>
      </c>
      <c r="G63" s="186">
        <f>IF(E63&lt;0,"ERROR! Do not enter negative numbers","")</f>
      </c>
      <c r="H63" s="180"/>
      <c r="J63" s="159" t="s">
        <v>674</v>
      </c>
      <c r="K63" s="159" t="s">
        <v>6</v>
      </c>
    </row>
    <row r="64" spans="2:11" ht="12.75" customHeight="1" thickBot="1">
      <c r="B64" s="198"/>
      <c r="C64" s="167" t="s">
        <v>664</v>
      </c>
      <c r="D64" s="190">
        <f>IF(C64="Inland consumpion (Observed)",SUM(D65,D67,D68,D69),_xlfn.IFERROR(VLOOKUP(CONCATENATE('Table 1'!$K64,".",'Table 1'!$J64),Data!$A$3:$C$330,2,FALSE),0))</f>
        <v>0</v>
      </c>
      <c r="E64" s="194"/>
      <c r="F64" s="177">
        <f t="shared" si="0"/>
      </c>
      <c r="G64" s="187">
        <f>IF(E64&lt;0,"ERROR! Do not enter negative numbers","")</f>
      </c>
      <c r="H64" s="181"/>
      <c r="J64" s="160" t="s">
        <v>684</v>
      </c>
      <c r="K64" s="160" t="s">
        <v>6</v>
      </c>
    </row>
    <row r="65" spans="2:11" ht="12.75" customHeight="1">
      <c r="B65" s="196" t="s">
        <v>354</v>
      </c>
      <c r="C65" s="74" t="str">
        <f aca="true" t="shared" si="2" ref="C65:C70">C45</f>
        <v>Indigenous production</v>
      </c>
      <c r="D65" s="169">
        <f>IF(C65="Inland consumpion (Observed)",SUM(D66,D68,D69,D70),_xlfn.IFERROR(VLOOKUP(CONCATENATE('Table 1'!$K65,".",'Table 1'!$J65),Data!$A$3:$C$330,2,FALSE),0))</f>
        <v>0</v>
      </c>
      <c r="E65" s="170"/>
      <c r="F65" s="168">
        <f t="shared" si="0"/>
      </c>
      <c r="G65" s="184">
        <f>IF(E65&lt;0,"ERROR! Do not enter negative numbers","")</f>
      </c>
      <c r="H65" s="178"/>
      <c r="J65" t="s">
        <v>239</v>
      </c>
      <c r="K65" t="s">
        <v>7</v>
      </c>
    </row>
    <row r="66" spans="2:11" ht="12.75" customHeight="1">
      <c r="B66" s="197"/>
      <c r="C66" s="74" t="str">
        <f t="shared" si="2"/>
        <v>From other sources</v>
      </c>
      <c r="D66" s="169">
        <f>IF(C66="Inland consumpion (Observed)",SUM(D67,D69,D70,D71),_xlfn.IFERROR(VLOOKUP(CONCATENATE('Table 1'!$K66,".",'Table 1'!$J66),Data!$A$3:$C$330,2,FALSE),0))</f>
        <v>0</v>
      </c>
      <c r="E66" s="170"/>
      <c r="F66" s="168">
        <f t="shared" si="0"/>
      </c>
      <c r="G66" s="184">
        <f>IF(E66&lt;0,"ERROR! Do not enter negative numbers","")</f>
      </c>
      <c r="H66" s="178"/>
      <c r="J66" t="s">
        <v>240</v>
      </c>
      <c r="K66" t="s">
        <v>7</v>
      </c>
    </row>
    <row r="67" spans="2:11" ht="12.75" customHeight="1">
      <c r="B67" s="197"/>
      <c r="C67" s="74" t="str">
        <f t="shared" si="2"/>
        <v>Total imports (Balance)</v>
      </c>
      <c r="D67" s="169">
        <f>IF(C67="Inland consumpion (Observed)",SUM(D68,D70,D71,D72),_xlfn.IFERROR(VLOOKUP(CONCATENATE('Table 1'!$K67,".",'Table 1'!$J67),Data!$A$3:$C$330,2,FALSE),0))</f>
        <v>0</v>
      </c>
      <c r="E67" s="170"/>
      <c r="F67" s="168">
        <f t="shared" si="0"/>
      </c>
      <c r="G67" s="184">
        <f>IF(ABS(E67-Imports!H$170)&gt;2,"ERROR: Import Total &lt;&gt; country sum ± 2","")</f>
      </c>
      <c r="H67" s="178"/>
      <c r="J67" t="s">
        <v>241</v>
      </c>
      <c r="K67" t="s">
        <v>7</v>
      </c>
    </row>
    <row r="68" spans="2:11" ht="12.75" customHeight="1">
      <c r="B68" s="197"/>
      <c r="C68" s="74" t="str">
        <f t="shared" si="2"/>
        <v>Total exports (Balance)</v>
      </c>
      <c r="D68" s="169">
        <f>IF(C68="Inland consumpion (Observed)",SUM(D69,D71,D72,D73),_xlfn.IFERROR(VLOOKUP(CONCATENATE('Table 1'!$K68,".",'Table 1'!$J68),Data!$A$3:$C$330,2,FALSE),0))</f>
        <v>0</v>
      </c>
      <c r="E68" s="170"/>
      <c r="F68" s="168">
        <f t="shared" si="0"/>
      </c>
      <c r="G68" s="184">
        <f>IF(E68-Exports!H$170&lt;&gt;0,"ERROR: Export Total &lt;&gt; country sum ± 2","")</f>
      </c>
      <c r="H68" s="178"/>
      <c r="J68" t="s">
        <v>242</v>
      </c>
      <c r="K68" t="s">
        <v>7</v>
      </c>
    </row>
    <row r="69" spans="2:11" ht="12.75" customHeight="1">
      <c r="B69" s="197"/>
      <c r="C69" s="74" t="str">
        <f t="shared" si="2"/>
        <v>Stock changes (National territory)</v>
      </c>
      <c r="D69" s="169">
        <f>IF(C69="Inland consumpion (Observed)",SUM(D70,D72,D73,D74),_xlfn.IFERROR(VLOOKUP(CONCATENATE('Table 1'!$K69,".",'Table 1'!$J69),Data!$A$3:$C$330,2,FALSE),0))</f>
        <v>0</v>
      </c>
      <c r="E69" s="170"/>
      <c r="F69" s="168">
        <f t="shared" si="0"/>
      </c>
      <c r="G69" s="184"/>
      <c r="H69" s="178"/>
      <c r="J69" t="s">
        <v>243</v>
      </c>
      <c r="K69" t="s">
        <v>7</v>
      </c>
    </row>
    <row r="70" spans="2:11" ht="12.75" customHeight="1">
      <c r="B70" s="197"/>
      <c r="C70" s="172" t="str">
        <f t="shared" si="2"/>
        <v>Inland consumption (calculated)</v>
      </c>
      <c r="D70" s="173">
        <f>IF(C70="Inland consumpion (Observed)",SUM(D71,D73,D74,D75),_xlfn.IFERROR(VLOOKUP(CONCATENATE('Table 1'!$K70,".",'Table 1'!$J70),Data!$A$3:$C$330,2,FALSE),0))</f>
        <v>0</v>
      </c>
      <c r="E70" s="174">
        <f>E65+E66+E67-E68+E69</f>
        <v>0</v>
      </c>
      <c r="F70" s="175">
        <f t="shared" si="0"/>
      </c>
      <c r="G70" s="185">
        <f>IF(E70=E65+E66+E67-E68+E69,IF(E70&lt;0,"WARNING! Negative consumption!",""),"ERROR! Please recalculate.")</f>
      </c>
      <c r="H70" s="179"/>
      <c r="J70" t="s">
        <v>244</v>
      </c>
      <c r="K70" t="s">
        <v>7</v>
      </c>
    </row>
    <row r="71" spans="2:11" ht="12.75" customHeight="1">
      <c r="B71" s="197"/>
      <c r="C71" s="171" t="s">
        <v>652</v>
      </c>
      <c r="D71" s="188">
        <f>IF(C71="Inland consumpion (Observed)",SUM(D72,D74,D75,D76),_xlfn.IFERROR(VLOOKUP(CONCATENATE('Table 1'!$K71,".",'Table 1'!$J71),Data!$A$3:$C$330,2,FALSE),0))</f>
        <v>0</v>
      </c>
      <c r="E71" s="191">
        <f>E70-E72</f>
        <v>0</v>
      </c>
      <c r="F71" s="176">
        <f t="shared" si="0"/>
      </c>
      <c r="G71" s="186">
        <f>IF(E71&lt;&gt;(E70-E72),"ERROR! STATDIFF does not equal Inland Consumption (Calculated) - Inland Consumption (Observed)","")</f>
      </c>
      <c r="H71" s="180"/>
      <c r="J71" s="158" t="s">
        <v>665</v>
      </c>
      <c r="K71" s="158" t="s">
        <v>7</v>
      </c>
    </row>
    <row r="72" spans="2:11" ht="12.75" customHeight="1">
      <c r="B72" s="197"/>
      <c r="C72" s="162" t="s">
        <v>653</v>
      </c>
      <c r="D72" s="189">
        <f>IF(C72="Inland consumpion (Observed)",SUM(D73,D75,D76,D77),_xlfn.IFERROR(VLOOKUP(CONCATENATE('Table 1'!$K72,".",'Table 1'!$J72),Data!$A$3:$C$330,2,FALSE),0))</f>
        <v>0</v>
      </c>
      <c r="E72" s="192">
        <f>SUM(E73,E75,E76,E77)</f>
        <v>0</v>
      </c>
      <c r="F72" s="176">
        <f t="shared" si="0"/>
      </c>
      <c r="G72" s="186">
        <f>IF(E72&lt;0,"ERROR! Do not enter negative numbers",IF(E72&lt;&gt;SUM(E73,E75,E76,E77),"ERROR: Inland consumption (observed) does not equal Transformation + Energy sector + Distribution losses + TFC",""))</f>
      </c>
      <c r="H72" s="180"/>
      <c r="J72" s="161"/>
      <c r="K72" s="161" t="s">
        <v>7</v>
      </c>
    </row>
    <row r="73" spans="2:11" ht="12.75" customHeight="1">
      <c r="B73" s="197"/>
      <c r="C73" s="163" t="s">
        <v>654</v>
      </c>
      <c r="D73" s="188">
        <f>IF(C73="Inland consumpion (Observed)",SUM(D74,D76,D77,D78),_xlfn.IFERROR(VLOOKUP(CONCATENATE('Table 1'!$K73,".",'Table 1'!$J73),Data!$A$3:$C$330,2,FALSE),0))</f>
        <v>0</v>
      </c>
      <c r="E73" s="193"/>
      <c r="F73" s="176">
        <f t="shared" si="0"/>
      </c>
      <c r="G73" s="186">
        <f>IF(E73&lt;0,"ERROR! Do not enter negative numbers",IF(E73&lt;E74,"ERROR: The subtotal Transformation cannot be less than of which: input to electricity and heat generation",""))</f>
      </c>
      <c r="H73" s="180"/>
      <c r="J73" s="159" t="s">
        <v>666</v>
      </c>
      <c r="K73" s="159" t="s">
        <v>7</v>
      </c>
    </row>
    <row r="74" spans="2:11" ht="12.75" customHeight="1">
      <c r="B74" s="197"/>
      <c r="C74" s="165" t="s">
        <v>683</v>
      </c>
      <c r="D74" s="188">
        <f>IF(C74="Inland consumpion (Observed)",SUM(D75,D77,D78,D79),_xlfn.IFERROR(VLOOKUP(CONCATENATE('Table 1'!$K74,".",'Table 1'!$J74),Data!$A$3:$C$330,2,FALSE),0))</f>
        <v>0</v>
      </c>
      <c r="E74" s="193"/>
      <c r="F74" s="176">
        <f t="shared" si="0"/>
      </c>
      <c r="G74" s="186">
        <f>IF(E74&lt;0,"ERROR! Do not enter negative numbers",IF(E74&gt;E73,"ERROR: This item cannot be higher than the subtotal Transformation",""))</f>
      </c>
      <c r="H74" s="180"/>
      <c r="J74" s="195" t="s">
        <v>682</v>
      </c>
      <c r="K74" s="159" t="s">
        <v>7</v>
      </c>
    </row>
    <row r="75" spans="2:11" ht="12.75" customHeight="1">
      <c r="B75" s="197"/>
      <c r="C75" s="163" t="s">
        <v>655</v>
      </c>
      <c r="D75" s="188">
        <f>IF(C75="Inland consumpion (Observed)",SUM(D76,D78,D79,D80),_xlfn.IFERROR(VLOOKUP(CONCATENATE('Table 1'!$K75,".",'Table 1'!$J75),Data!$A$3:$C$330,2,FALSE),0))</f>
        <v>0</v>
      </c>
      <c r="E75" s="193"/>
      <c r="F75" s="176">
        <f t="shared" si="0"/>
      </c>
      <c r="G75" s="186">
        <f>IF(E75&lt;0,"ERROR! Do not enter negative numbers","")</f>
      </c>
      <c r="H75" s="180"/>
      <c r="J75" s="159" t="s">
        <v>667</v>
      </c>
      <c r="K75" s="159" t="s">
        <v>7</v>
      </c>
    </row>
    <row r="76" spans="2:11" ht="12.75" customHeight="1">
      <c r="B76" s="197"/>
      <c r="C76" s="163" t="s">
        <v>656</v>
      </c>
      <c r="D76" s="188">
        <f>IF(C76="Inland consumpion (Observed)",SUM(D77,D79,D80,D81),_xlfn.IFERROR(VLOOKUP(CONCATENATE('Table 1'!$K76,".",'Table 1'!$J76),Data!$A$3:$C$330,2,FALSE),0))</f>
        <v>0</v>
      </c>
      <c r="E76" s="193"/>
      <c r="F76" s="176">
        <f t="shared" si="0"/>
      </c>
      <c r="G76" s="186">
        <f>IF(E76&lt;0,"ERROR! Do not enter negative numbers","")</f>
      </c>
      <c r="H76" s="180"/>
      <c r="J76" s="159" t="s">
        <v>668</v>
      </c>
      <c r="K76" s="159" t="s">
        <v>7</v>
      </c>
    </row>
    <row r="77" spans="2:11" ht="12.75" customHeight="1">
      <c r="B77" s="197"/>
      <c r="C77" s="163" t="s">
        <v>657</v>
      </c>
      <c r="D77" s="188">
        <f>IF(C77="Inland consumpion (Observed)",SUM(D78,D80,D81,D82),_xlfn.IFERROR(VLOOKUP(CONCATENATE('Table 1'!$K77,".",'Table 1'!$J77),Data!$A$3:$C$330,2,FALSE),0))</f>
        <v>0</v>
      </c>
      <c r="E77" s="191">
        <f>SUM(E78:E79)</f>
        <v>0</v>
      </c>
      <c r="F77" s="176">
        <f t="shared" si="0"/>
      </c>
      <c r="G77" s="186">
        <f>IF(E77&lt;0,"ERROR! Do not enter negative numbers",IF(E77&lt;&gt;SUM(E78:E79),"ERROR: TFC does not equal Total Final Non-Energy Consumption + Total Final Energy Consumption",""))</f>
      </c>
      <c r="H77" s="180"/>
      <c r="J77" s="159" t="s">
        <v>669</v>
      </c>
      <c r="K77" s="159" t="s">
        <v>7</v>
      </c>
    </row>
    <row r="78" spans="2:11" ht="12.75" customHeight="1">
      <c r="B78" s="197"/>
      <c r="C78" s="164" t="s">
        <v>658</v>
      </c>
      <c r="D78" s="188">
        <f>IF(C78="Inland consumpion (Observed)",SUM(D79,D81,D82,D83),_xlfn.IFERROR(VLOOKUP(CONCATENATE('Table 1'!$K78,".",'Table 1'!$J78),Data!$A$3:$C$330,2,FALSE),0))</f>
        <v>0</v>
      </c>
      <c r="E78" s="193"/>
      <c r="F78" s="176">
        <f t="shared" si="0"/>
      </c>
      <c r="G78" s="186">
        <f>IF(E78&lt;0,"ERROR! Do not enter negative numbers","")</f>
      </c>
      <c r="H78" s="180"/>
      <c r="J78" s="159" t="s">
        <v>670</v>
      </c>
      <c r="K78" s="159" t="s">
        <v>7</v>
      </c>
    </row>
    <row r="79" spans="2:11" ht="12.75" customHeight="1">
      <c r="B79" s="197"/>
      <c r="C79" s="164" t="s">
        <v>659</v>
      </c>
      <c r="D79" s="188">
        <f>IF(C79="Inland consumpion (Observed)",SUM(D80,D82,D83,D84),_xlfn.IFERROR(VLOOKUP(CONCATENATE('Table 1'!$K79,".",'Table 1'!$J79),Data!$A$3:$C$330,2,FALSE),0))</f>
        <v>0</v>
      </c>
      <c r="E79" s="191">
        <f>SUM(E80:E82)</f>
        <v>0</v>
      </c>
      <c r="F79" s="176">
        <f t="shared" si="0"/>
      </c>
      <c r="G79" s="186">
        <f>IF(E79&lt;0,"ERROR! Do not enter negative numbers",IF(E79&lt;&gt;SUM(E80:E82),"ERROR: Total Final Energy Consumption does not equal Industry + Transport + Other sectors",""))</f>
      </c>
      <c r="H79" s="180"/>
      <c r="J79" s="159" t="s">
        <v>671</v>
      </c>
      <c r="K79" s="159" t="s">
        <v>7</v>
      </c>
    </row>
    <row r="80" spans="2:11" ht="12.75" customHeight="1">
      <c r="B80" s="197"/>
      <c r="C80" s="165" t="s">
        <v>660</v>
      </c>
      <c r="D80" s="188">
        <f>IF(C80="Inland consumpion (Observed)",SUM(D81,D83,D84,D85),_xlfn.IFERROR(VLOOKUP(CONCATENATE('Table 1'!$K80,".",'Table 1'!$J80),Data!$A$3:$C$330,2,FALSE),0))</f>
        <v>0</v>
      </c>
      <c r="E80" s="193"/>
      <c r="F80" s="176">
        <f t="shared" si="0"/>
      </c>
      <c r="G80" s="186">
        <f>IF(E80&lt;0,"ERROR! Do not enter negative numbers","")</f>
      </c>
      <c r="H80" s="180"/>
      <c r="J80" s="159" t="s">
        <v>681</v>
      </c>
      <c r="K80" s="159" t="s">
        <v>7</v>
      </c>
    </row>
    <row r="81" spans="2:11" ht="12.75" customHeight="1">
      <c r="B81" s="197"/>
      <c r="C81" s="165" t="s">
        <v>661</v>
      </c>
      <c r="D81" s="188">
        <f>IF(C81="Inland consumpion (Observed)",SUM(D82,D84,D85,D86),_xlfn.IFERROR(VLOOKUP(CONCATENATE('Table 1'!$K81,".",'Table 1'!$J81),Data!$A$3:$C$330,2,FALSE),0))</f>
        <v>0</v>
      </c>
      <c r="E81" s="193"/>
      <c r="F81" s="176">
        <f t="shared" si="0"/>
      </c>
      <c r="G81" s="186">
        <f>IF(E81&lt;0,"ERROR! Do not enter negative numbers","")</f>
      </c>
      <c r="H81" s="180"/>
      <c r="J81" s="159" t="s">
        <v>672</v>
      </c>
      <c r="K81" s="159" t="s">
        <v>7</v>
      </c>
    </row>
    <row r="82" spans="2:11" ht="12.75" customHeight="1">
      <c r="B82" s="197"/>
      <c r="C82" s="165" t="s">
        <v>662</v>
      </c>
      <c r="D82" s="188">
        <f>IF(C82="Inland consumpion (Observed)",SUM(D83,D85,D86,D87),_xlfn.IFERROR(VLOOKUP(CONCATENATE('Table 1'!$K82,".",'Table 1'!$J82),Data!$A$3:$C$330,2,FALSE),0))</f>
        <v>0</v>
      </c>
      <c r="E82" s="193"/>
      <c r="F82" s="176">
        <f t="shared" si="0"/>
      </c>
      <c r="G82" s="186">
        <f>IF(E82&lt;0,"ERROR! Do not enter negative numbers",IF(E82&lt;SUM(E83:E84),"ERROR: The subtotal Other Sectors cannot be less than the sum of Residential + Commercial &amp;  Public services",""))</f>
      </c>
      <c r="H82" s="180"/>
      <c r="J82" s="159" t="s">
        <v>673</v>
      </c>
      <c r="K82" s="159" t="s">
        <v>7</v>
      </c>
    </row>
    <row r="83" spans="2:11" ht="12.75" customHeight="1">
      <c r="B83" s="197"/>
      <c r="C83" s="166" t="s">
        <v>663</v>
      </c>
      <c r="D83" s="188">
        <f>IF(C83="Inland consumpion (Observed)",SUM(D84,D86,D87,D88),_xlfn.IFERROR(VLOOKUP(CONCATENATE('Table 1'!$K83,".",'Table 1'!$J83),Data!$A$3:$C$330,2,FALSE),0))</f>
        <v>0</v>
      </c>
      <c r="E83" s="193"/>
      <c r="F83" s="176">
        <f t="shared" si="0"/>
      </c>
      <c r="G83" s="186">
        <f>IF(E83&lt;0,"ERROR! Do not enter negative numbers","")</f>
      </c>
      <c r="H83" s="180"/>
      <c r="J83" s="159" t="s">
        <v>674</v>
      </c>
      <c r="K83" s="159" t="s">
        <v>7</v>
      </c>
    </row>
    <row r="84" spans="2:11" ht="12.75" customHeight="1" thickBot="1">
      <c r="B84" s="198"/>
      <c r="C84" s="167" t="s">
        <v>664</v>
      </c>
      <c r="D84" s="190">
        <f>IF(C84="Inland consumpion (Observed)",SUM(D85,D87,D88,D89),_xlfn.IFERROR(VLOOKUP(CONCATENATE('Table 1'!$K84,".",'Table 1'!$J84),Data!$A$3:$C$330,2,FALSE),0))</f>
        <v>0</v>
      </c>
      <c r="E84" s="194"/>
      <c r="F84" s="177">
        <f t="shared" si="0"/>
      </c>
      <c r="G84" s="187">
        <f>IF(E84&lt;0,"ERROR! Do not enter negative numbers","")</f>
      </c>
      <c r="H84" s="181"/>
      <c r="J84" s="160" t="s">
        <v>684</v>
      </c>
      <c r="K84" s="160" t="s">
        <v>7</v>
      </c>
    </row>
    <row r="85" spans="2:11" ht="12.75" customHeight="1">
      <c r="B85" s="196" t="s">
        <v>391</v>
      </c>
      <c r="C85" s="74" t="str">
        <f aca="true" t="shared" si="3" ref="C85:C90">C65</f>
        <v>Indigenous production</v>
      </c>
      <c r="D85" s="169">
        <f>IF(C85="Inland consumpion (Observed)",SUM(D86,D88,D89,D90),_xlfn.IFERROR(VLOOKUP(CONCATENATE('Table 1'!$K85,".",'Table 1'!$J85),Data!$A$3:$C$330,2,FALSE),0))</f>
        <v>0</v>
      </c>
      <c r="E85" s="170"/>
      <c r="F85" s="168">
        <f t="shared" si="0"/>
      </c>
      <c r="G85" s="184">
        <f>IF(E85&lt;0,"ERROR! Do not enter negative numbers","")</f>
      </c>
      <c r="H85" s="178"/>
      <c r="J85" t="s">
        <v>239</v>
      </c>
      <c r="K85" t="s">
        <v>8</v>
      </c>
    </row>
    <row r="86" spans="2:11" ht="12.75" customHeight="1">
      <c r="B86" s="197"/>
      <c r="C86" s="74" t="str">
        <f t="shared" si="3"/>
        <v>From other sources</v>
      </c>
      <c r="D86" s="169">
        <f>IF(C86="Inland consumpion (Observed)",SUM(D87,D89,D90,D91),_xlfn.IFERROR(VLOOKUP(CONCATENATE('Table 1'!$K86,".",'Table 1'!$J86),Data!$A$3:$C$330,2,FALSE),0))</f>
        <v>0</v>
      </c>
      <c r="E86" s="170"/>
      <c r="F86" s="168">
        <f t="shared" si="0"/>
      </c>
      <c r="G86" s="184">
        <f>IF(E86&lt;0,"ERROR! Do not enter negative numbers","")</f>
      </c>
      <c r="H86" s="178"/>
      <c r="J86" t="s">
        <v>240</v>
      </c>
      <c r="K86" t="s">
        <v>8</v>
      </c>
    </row>
    <row r="87" spans="2:11" ht="12.75" customHeight="1">
      <c r="B87" s="197"/>
      <c r="C87" s="74" t="str">
        <f t="shared" si="3"/>
        <v>Total imports (Balance)</v>
      </c>
      <c r="D87" s="169">
        <f>IF(C87="Inland consumpion (Observed)",SUM(D88,D90,D91,D92),_xlfn.IFERROR(VLOOKUP(CONCATENATE('Table 1'!$K87,".",'Table 1'!$J87),Data!$A$3:$C$330,2,FALSE),0))</f>
        <v>0</v>
      </c>
      <c r="E87" s="170"/>
      <c r="F87" s="168">
        <f t="shared" si="0"/>
      </c>
      <c r="G87" s="184">
        <f>IF(ABS(E87-Imports!I$170)&gt;2,"ERROR: Import Total &lt;&gt; country sum ± 2","")</f>
      </c>
      <c r="H87" s="178"/>
      <c r="J87" t="s">
        <v>241</v>
      </c>
      <c r="K87" t="s">
        <v>8</v>
      </c>
    </row>
    <row r="88" spans="2:11" ht="12.75" customHeight="1">
      <c r="B88" s="197"/>
      <c r="C88" s="74" t="str">
        <f t="shared" si="3"/>
        <v>Total exports (Balance)</v>
      </c>
      <c r="D88" s="169">
        <f>IF(C88="Inland consumpion (Observed)",SUM(D89,D91,D92,D93),_xlfn.IFERROR(VLOOKUP(CONCATENATE('Table 1'!$K88,".",'Table 1'!$J88),Data!$A$3:$C$330,2,FALSE),0))</f>
        <v>0</v>
      </c>
      <c r="E88" s="170"/>
      <c r="F88" s="168">
        <f t="shared" si="0"/>
      </c>
      <c r="G88" s="184">
        <f>IF(E88-Exports!I$170&lt;&gt;0,"ERROR: Export Total &lt;&gt; country sum ± 2","")</f>
      </c>
      <c r="H88" s="178"/>
      <c r="J88" t="s">
        <v>242</v>
      </c>
      <c r="K88" t="s">
        <v>8</v>
      </c>
    </row>
    <row r="89" spans="2:11" ht="12.75" customHeight="1">
      <c r="B89" s="197"/>
      <c r="C89" s="74" t="str">
        <f t="shared" si="3"/>
        <v>Stock changes (National territory)</v>
      </c>
      <c r="D89" s="169">
        <f>IF(C89="Inland consumpion (Observed)",SUM(D90,D92,D93,D94),_xlfn.IFERROR(VLOOKUP(CONCATENATE('Table 1'!$K89,".",'Table 1'!$J89),Data!$A$3:$C$330,2,FALSE),0))</f>
        <v>0</v>
      </c>
      <c r="E89" s="170"/>
      <c r="F89" s="168">
        <f t="shared" si="0"/>
      </c>
      <c r="G89" s="184"/>
      <c r="H89" s="178"/>
      <c r="J89" t="s">
        <v>243</v>
      </c>
      <c r="K89" t="s">
        <v>8</v>
      </c>
    </row>
    <row r="90" spans="2:11" ht="12.75" customHeight="1">
      <c r="B90" s="197"/>
      <c r="C90" s="172" t="str">
        <f t="shared" si="3"/>
        <v>Inland consumption (calculated)</v>
      </c>
      <c r="D90" s="173">
        <f>IF(C90="Inland consumpion (Observed)",SUM(D91,D93,D94,D95),_xlfn.IFERROR(VLOOKUP(CONCATENATE('Table 1'!$K90,".",'Table 1'!$J90),Data!$A$3:$C$330,2,FALSE),0))</f>
        <v>0</v>
      </c>
      <c r="E90" s="174">
        <f>E85+E86+E87-E88+E89</f>
        <v>0</v>
      </c>
      <c r="F90" s="175">
        <f t="shared" si="0"/>
      </c>
      <c r="G90" s="185">
        <f>IF(E90=E85+E86+E87-E88+E89,IF(E90&lt;0,"WARNING! Negative consumption!",""),"ERROR! Please recalculate.")</f>
      </c>
      <c r="H90" s="179"/>
      <c r="J90" t="s">
        <v>244</v>
      </c>
      <c r="K90" t="s">
        <v>8</v>
      </c>
    </row>
    <row r="91" spans="2:11" ht="12.75" customHeight="1">
      <c r="B91" s="197"/>
      <c r="C91" s="171" t="s">
        <v>652</v>
      </c>
      <c r="D91" s="188">
        <f>IF(C91="Inland consumpion (Observed)",SUM(D92,D94,D95,D96),_xlfn.IFERROR(VLOOKUP(CONCATENATE('Table 1'!$K91,".",'Table 1'!$J91),Data!$A$3:$C$330,2,FALSE),0))</f>
        <v>0</v>
      </c>
      <c r="E91" s="191">
        <f>E90-E92</f>
        <v>0</v>
      </c>
      <c r="F91" s="176">
        <f t="shared" si="0"/>
      </c>
      <c r="G91" s="186">
        <f>IF(E91&lt;&gt;(E90-E92),"ERROR! STATDIFF does not equal Inland Consumption (Calculated) - Inland Consumption (Observed)","")</f>
      </c>
      <c r="H91" s="180"/>
      <c r="J91" s="158" t="s">
        <v>665</v>
      </c>
      <c r="K91" s="158" t="s">
        <v>8</v>
      </c>
    </row>
    <row r="92" spans="2:11" ht="12.75" customHeight="1">
      <c r="B92" s="197"/>
      <c r="C92" s="162" t="s">
        <v>653</v>
      </c>
      <c r="D92" s="189">
        <f>IF(C92="Inland consumpion (Observed)",SUM(D93,D95,D96,D97),_xlfn.IFERROR(VLOOKUP(CONCATENATE('Table 1'!$K92,".",'Table 1'!$J92),Data!$A$3:$C$330,2,FALSE),0))</f>
        <v>0</v>
      </c>
      <c r="E92" s="192">
        <f>SUM(E93,E95,E96,E97)</f>
        <v>0</v>
      </c>
      <c r="F92" s="176">
        <f t="shared" si="0"/>
      </c>
      <c r="G92" s="186">
        <f>IF(E92&lt;0,"ERROR! Do not enter negative numbers",IF(E92&lt;&gt;SUM(E93,E95,E96,E97),"ERROR: Inland consumption (observed) does not equal Transformation + Energy sector + Distribution losses + TFC",""))</f>
      </c>
      <c r="H92" s="180"/>
      <c r="J92" s="161"/>
      <c r="K92" s="161" t="s">
        <v>8</v>
      </c>
    </row>
    <row r="93" spans="2:11" ht="12.75" customHeight="1">
      <c r="B93" s="197"/>
      <c r="C93" s="163" t="s">
        <v>654</v>
      </c>
      <c r="D93" s="188">
        <f>IF(C93="Inland consumpion (Observed)",SUM(D94,D96,D97,D98),_xlfn.IFERROR(VLOOKUP(CONCATENATE('Table 1'!$K93,".",'Table 1'!$J93),Data!$A$3:$C$330,2,FALSE),0))</f>
        <v>0</v>
      </c>
      <c r="E93" s="193"/>
      <c r="F93" s="176">
        <f t="shared" si="0"/>
      </c>
      <c r="G93" s="186">
        <f>IF(E93&lt;0,"ERROR! Do not enter negative numbers",IF(E93&lt;E94,"ERROR: The subtotal Transformation cannot be less than of which: input to electricity and heat generation",""))</f>
      </c>
      <c r="H93" s="180"/>
      <c r="J93" s="159" t="s">
        <v>666</v>
      </c>
      <c r="K93" s="159" t="s">
        <v>8</v>
      </c>
    </row>
    <row r="94" spans="2:11" ht="12.75" customHeight="1">
      <c r="B94" s="197"/>
      <c r="C94" s="165" t="s">
        <v>683</v>
      </c>
      <c r="D94" s="188">
        <f>IF(C94="Inland consumpion (Observed)",SUM(D95,D97,D98,D99),_xlfn.IFERROR(VLOOKUP(CONCATENATE('Table 1'!$K94,".",'Table 1'!$J94),Data!$A$3:$C$330,2,FALSE),0))</f>
        <v>0</v>
      </c>
      <c r="E94" s="193"/>
      <c r="F94" s="176">
        <f t="shared" si="0"/>
      </c>
      <c r="G94" s="186">
        <f>IF(E94&lt;0,"ERROR! Do not enter negative numbers",IF(E94&gt;E93,"ERROR: This item cannot be higher than the subtotal Transformation",""))</f>
      </c>
      <c r="H94" s="180"/>
      <c r="J94" s="195" t="s">
        <v>682</v>
      </c>
      <c r="K94" s="159" t="s">
        <v>8</v>
      </c>
    </row>
    <row r="95" spans="2:11" ht="12.75" customHeight="1">
      <c r="B95" s="197"/>
      <c r="C95" s="163" t="s">
        <v>655</v>
      </c>
      <c r="D95" s="188">
        <f>IF(C95="Inland consumpion (Observed)",SUM(D96,D98,D99,D100),_xlfn.IFERROR(VLOOKUP(CONCATENATE('Table 1'!$K95,".",'Table 1'!$J95),Data!$A$3:$C$330,2,FALSE),0))</f>
        <v>0</v>
      </c>
      <c r="E95" s="193"/>
      <c r="F95" s="176">
        <f t="shared" si="0"/>
      </c>
      <c r="G95" s="186">
        <f>IF(E95&lt;0,"ERROR! Do not enter negative numbers","")</f>
      </c>
      <c r="H95" s="180"/>
      <c r="J95" s="159" t="s">
        <v>667</v>
      </c>
      <c r="K95" s="159" t="s">
        <v>8</v>
      </c>
    </row>
    <row r="96" spans="2:11" ht="12.75" customHeight="1">
      <c r="B96" s="197"/>
      <c r="C96" s="163" t="s">
        <v>656</v>
      </c>
      <c r="D96" s="188">
        <f>IF(C96="Inland consumpion (Observed)",SUM(D97,D99,D100,D101),_xlfn.IFERROR(VLOOKUP(CONCATENATE('Table 1'!$K96,".",'Table 1'!$J96),Data!$A$3:$C$330,2,FALSE),0))</f>
        <v>0</v>
      </c>
      <c r="E96" s="193"/>
      <c r="F96" s="176">
        <f t="shared" si="0"/>
      </c>
      <c r="G96" s="186">
        <f>IF(E96&lt;0,"ERROR! Do not enter negative numbers","")</f>
      </c>
      <c r="H96" s="180"/>
      <c r="J96" s="159" t="s">
        <v>668</v>
      </c>
      <c r="K96" s="159" t="s">
        <v>8</v>
      </c>
    </row>
    <row r="97" spans="2:11" ht="12.75" customHeight="1">
      <c r="B97" s="197"/>
      <c r="C97" s="163" t="s">
        <v>657</v>
      </c>
      <c r="D97" s="188">
        <f>IF(C97="Inland consumpion (Observed)",SUM(D98,D100,D101,D102),_xlfn.IFERROR(VLOOKUP(CONCATENATE('Table 1'!$K97,".",'Table 1'!$J97),Data!$A$3:$C$330,2,FALSE),0))</f>
        <v>0</v>
      </c>
      <c r="E97" s="191">
        <f>SUM(E98:E99)</f>
        <v>0</v>
      </c>
      <c r="F97" s="176">
        <f t="shared" si="0"/>
      </c>
      <c r="G97" s="186">
        <f>IF(E97&lt;0,"ERROR! Do not enter negative numbers",IF(E97&lt;&gt;SUM(E98:E99),"ERROR: TFC does not equal Total Final Non-Energy Consumption + Total Final Energy Consumption",""))</f>
      </c>
      <c r="H97" s="180"/>
      <c r="J97" s="159" t="s">
        <v>669</v>
      </c>
      <c r="K97" s="159" t="s">
        <v>8</v>
      </c>
    </row>
    <row r="98" spans="2:11" ht="12.75" customHeight="1">
      <c r="B98" s="197"/>
      <c r="C98" s="164" t="s">
        <v>658</v>
      </c>
      <c r="D98" s="188">
        <f>IF(C98="Inland consumpion (Observed)",SUM(D99,D101,D102,D103),_xlfn.IFERROR(VLOOKUP(CONCATENATE('Table 1'!$K98,".",'Table 1'!$J98),Data!$A$3:$C$330,2,FALSE),0))</f>
        <v>0</v>
      </c>
      <c r="E98" s="193"/>
      <c r="F98" s="176">
        <f t="shared" si="0"/>
      </c>
      <c r="G98" s="186">
        <f>IF(E98&lt;0,"ERROR! Do not enter negative numbers","")</f>
      </c>
      <c r="H98" s="180"/>
      <c r="J98" s="159" t="s">
        <v>670</v>
      </c>
      <c r="K98" s="159" t="s">
        <v>8</v>
      </c>
    </row>
    <row r="99" spans="2:11" ht="12.75" customHeight="1">
      <c r="B99" s="197"/>
      <c r="C99" s="164" t="s">
        <v>659</v>
      </c>
      <c r="D99" s="188">
        <f>IF(C99="Inland consumpion (Observed)",SUM(D100,D102,D103,D104),_xlfn.IFERROR(VLOOKUP(CONCATENATE('Table 1'!$K99,".",'Table 1'!$J99),Data!$A$3:$C$330,2,FALSE),0))</f>
        <v>0</v>
      </c>
      <c r="E99" s="191">
        <f>SUM(E100:E102)</f>
        <v>0</v>
      </c>
      <c r="F99" s="176">
        <f t="shared" si="0"/>
      </c>
      <c r="G99" s="186">
        <f>IF(E99&lt;0,"ERROR! Do not enter negative numbers",IF(E99&lt;&gt;SUM(E100:E102),"ERROR: Total Final Energy Consumption does not equal Industry + Transport + Other sectors",""))</f>
      </c>
      <c r="H99" s="180"/>
      <c r="J99" s="159" t="s">
        <v>671</v>
      </c>
      <c r="K99" s="159" t="s">
        <v>8</v>
      </c>
    </row>
    <row r="100" spans="2:11" ht="12.75" customHeight="1">
      <c r="B100" s="197"/>
      <c r="C100" s="165" t="s">
        <v>660</v>
      </c>
      <c r="D100" s="188">
        <f>IF(C100="Inland consumpion (Observed)",SUM(D101,D103,D104,D105),_xlfn.IFERROR(VLOOKUP(CONCATENATE('Table 1'!$K100,".",'Table 1'!$J100),Data!$A$3:$C$330,2,FALSE),0))</f>
        <v>0</v>
      </c>
      <c r="E100" s="193"/>
      <c r="F100" s="176">
        <f t="shared" si="0"/>
      </c>
      <c r="G100" s="186">
        <f>IF(E100&lt;0,"ERROR! Do not enter negative numbers","")</f>
      </c>
      <c r="H100" s="180"/>
      <c r="J100" s="159" t="s">
        <v>681</v>
      </c>
      <c r="K100" s="159" t="s">
        <v>8</v>
      </c>
    </row>
    <row r="101" spans="2:11" ht="12.75" customHeight="1">
      <c r="B101" s="197"/>
      <c r="C101" s="165" t="s">
        <v>661</v>
      </c>
      <c r="D101" s="188">
        <f>IF(C101="Inland consumpion (Observed)",SUM(D102,D104,D105,D106),_xlfn.IFERROR(VLOOKUP(CONCATENATE('Table 1'!$K101,".",'Table 1'!$J101),Data!$A$3:$C$330,2,FALSE),0))</f>
        <v>0</v>
      </c>
      <c r="E101" s="193"/>
      <c r="F101" s="176">
        <f t="shared" si="0"/>
      </c>
      <c r="G101" s="186">
        <f>IF(E101&lt;0,"ERROR! Do not enter negative numbers","")</f>
      </c>
      <c r="H101" s="180"/>
      <c r="J101" s="159" t="s">
        <v>672</v>
      </c>
      <c r="K101" s="159" t="s">
        <v>8</v>
      </c>
    </row>
    <row r="102" spans="2:11" ht="12.75" customHeight="1">
      <c r="B102" s="197"/>
      <c r="C102" s="165" t="s">
        <v>662</v>
      </c>
      <c r="D102" s="188">
        <f>IF(C102="Inland consumpion (Observed)",SUM(D103,D105,D106,D107),_xlfn.IFERROR(VLOOKUP(CONCATENATE('Table 1'!$K102,".",'Table 1'!$J102),Data!$A$3:$C$330,2,FALSE),0))</f>
        <v>0</v>
      </c>
      <c r="E102" s="193"/>
      <c r="F102" s="176">
        <f t="shared" si="0"/>
      </c>
      <c r="G102" s="186">
        <f>IF(E102&lt;0,"ERROR! Do not enter negative numbers",IF(E102&lt;SUM(E103:E104),"ERROR: The subtotal Other Sectors cannot be less than the sum of Residential + Commercial &amp;  Public services",""))</f>
      </c>
      <c r="H102" s="180"/>
      <c r="J102" s="159" t="s">
        <v>673</v>
      </c>
      <c r="K102" s="159" t="s">
        <v>8</v>
      </c>
    </row>
    <row r="103" spans="2:11" ht="12.75" customHeight="1">
      <c r="B103" s="197"/>
      <c r="C103" s="166" t="s">
        <v>663</v>
      </c>
      <c r="D103" s="188">
        <f>IF(C103="Inland consumpion (Observed)",SUM(D104,D106,D107,D108),_xlfn.IFERROR(VLOOKUP(CONCATENATE('Table 1'!$K103,".",'Table 1'!$J103),Data!$A$3:$C$330,2,FALSE),0))</f>
        <v>0</v>
      </c>
      <c r="E103" s="193"/>
      <c r="F103" s="176">
        <f t="shared" si="0"/>
      </c>
      <c r="G103" s="186">
        <f>IF(E103&lt;0,"ERROR! Do not enter negative numbers","")</f>
      </c>
      <c r="H103" s="180"/>
      <c r="J103" s="159" t="s">
        <v>674</v>
      </c>
      <c r="K103" s="159" t="s">
        <v>8</v>
      </c>
    </row>
    <row r="104" spans="2:11" ht="12.75" customHeight="1" thickBot="1">
      <c r="B104" s="198"/>
      <c r="C104" s="167" t="s">
        <v>664</v>
      </c>
      <c r="D104" s="190">
        <f>IF(C104="Inland consumpion (Observed)",SUM(D105,D107,D108,D109),_xlfn.IFERROR(VLOOKUP(CONCATENATE('Table 1'!$K104,".",'Table 1'!$J104),Data!$A$3:$C$330,2,FALSE),0))</f>
        <v>0</v>
      </c>
      <c r="E104" s="194"/>
      <c r="F104" s="177">
        <f t="shared" si="0"/>
      </c>
      <c r="G104" s="187">
        <f>IF(E104&lt;0,"ERROR! Do not enter negative numbers","")</f>
      </c>
      <c r="H104" s="181"/>
      <c r="J104" s="160" t="s">
        <v>684</v>
      </c>
      <c r="K104" s="160" t="s">
        <v>8</v>
      </c>
    </row>
    <row r="105" spans="2:11" ht="12.75" customHeight="1">
      <c r="B105" s="196" t="s">
        <v>355</v>
      </c>
      <c r="C105" s="74" t="str">
        <f aca="true" t="shared" si="4" ref="C105:C110">C285</f>
        <v>Indigenous production</v>
      </c>
      <c r="D105" s="169">
        <f>IF(C105="Inland consumpion (Observed)",SUM(D106,D108,D109,D110),_xlfn.IFERROR(VLOOKUP(CONCATENATE('Table 1'!$K105,".",'Table 1'!$J105),Data!$A$3:$C$330,2,FALSE),0))</f>
        <v>0</v>
      </c>
      <c r="E105" s="170"/>
      <c r="F105" s="168">
        <f t="shared" si="0"/>
      </c>
      <c r="G105" s="184">
        <f>IF(E105&lt;0,"ERROR! Do not enter negative numbers","")</f>
      </c>
      <c r="H105" s="178"/>
      <c r="J105" t="s">
        <v>239</v>
      </c>
      <c r="K105" t="s">
        <v>151</v>
      </c>
    </row>
    <row r="106" spans="2:11" ht="12.75" customHeight="1">
      <c r="B106" s="197"/>
      <c r="C106" s="74" t="str">
        <f t="shared" si="4"/>
        <v>From other sources</v>
      </c>
      <c r="D106" s="169">
        <f>IF(C106="Inland consumpion (Observed)",SUM(D107,D109,D110,D111),_xlfn.IFERROR(VLOOKUP(CONCATENATE('Table 1'!$K106,".",'Table 1'!$J106),Data!$A$3:$C$330,2,FALSE),0))</f>
        <v>0</v>
      </c>
      <c r="E106" s="170"/>
      <c r="F106" s="168">
        <f t="shared" si="0"/>
      </c>
      <c r="G106" s="184">
        <f>IF(E106&lt;0,"ERROR! Do not enter negative numbers","")</f>
      </c>
      <c r="H106" s="178"/>
      <c r="J106" t="s">
        <v>240</v>
      </c>
      <c r="K106" t="s">
        <v>151</v>
      </c>
    </row>
    <row r="107" spans="2:11" ht="12.75" customHeight="1">
      <c r="B107" s="197"/>
      <c r="C107" s="74" t="str">
        <f t="shared" si="4"/>
        <v>Total imports (Balance)</v>
      </c>
      <c r="D107" s="169">
        <f>IF(C107="Inland consumpion (Observed)",SUM(D108,D110,D111,D112),_xlfn.IFERROR(VLOOKUP(CONCATENATE('Table 1'!$K107,".",'Table 1'!$J107),Data!$A$3:$C$330,2,FALSE),0))</f>
        <v>0</v>
      </c>
      <c r="E107" s="170"/>
      <c r="F107" s="168">
        <f t="shared" si="0"/>
      </c>
      <c r="G107" s="184">
        <f>IF(ABS(E107-Imports!J$170)&gt;2,"ERROR: Import Total &lt;&gt; country sum ± 2","")</f>
      </c>
      <c r="H107" s="178"/>
      <c r="J107" t="s">
        <v>241</v>
      </c>
      <c r="K107" t="s">
        <v>151</v>
      </c>
    </row>
    <row r="108" spans="2:11" ht="12.75" customHeight="1">
      <c r="B108" s="197"/>
      <c r="C108" s="74" t="str">
        <f t="shared" si="4"/>
        <v>Total exports (Balance)</v>
      </c>
      <c r="D108" s="169">
        <f>IF(C108="Inland consumpion (Observed)",SUM(D109,D111,D112,D113),_xlfn.IFERROR(VLOOKUP(CONCATENATE('Table 1'!$K108,".",'Table 1'!$J108),Data!$A$3:$C$330,2,FALSE),0))</f>
        <v>0</v>
      </c>
      <c r="E108" s="170"/>
      <c r="F108" s="168">
        <f t="shared" si="0"/>
      </c>
      <c r="G108" s="184">
        <f>IF(E108-Exports!J$170&lt;&gt;0,"ERROR: Export Total &lt;&gt; country sum ± 2","")</f>
      </c>
      <c r="H108" s="178"/>
      <c r="J108" t="s">
        <v>242</v>
      </c>
      <c r="K108" t="s">
        <v>151</v>
      </c>
    </row>
    <row r="109" spans="2:11" ht="12.75" customHeight="1">
      <c r="B109" s="197"/>
      <c r="C109" s="74" t="str">
        <f t="shared" si="4"/>
        <v>Stock changes (National territory)</v>
      </c>
      <c r="D109" s="169">
        <f>IF(C109="Inland consumpion (Observed)",SUM(D110,D112,D113,D114),_xlfn.IFERROR(VLOOKUP(CONCATENATE('Table 1'!$K109,".",'Table 1'!$J109),Data!$A$3:$C$330,2,FALSE),0))</f>
        <v>0</v>
      </c>
      <c r="E109" s="170"/>
      <c r="F109" s="168">
        <f t="shared" si="0"/>
      </c>
      <c r="G109" s="184"/>
      <c r="H109" s="178"/>
      <c r="J109" t="s">
        <v>243</v>
      </c>
      <c r="K109" t="s">
        <v>151</v>
      </c>
    </row>
    <row r="110" spans="2:11" ht="12.75" customHeight="1">
      <c r="B110" s="197"/>
      <c r="C110" s="172" t="str">
        <f t="shared" si="4"/>
        <v>Inland consumption (calculated)</v>
      </c>
      <c r="D110" s="173">
        <f>IF(C110="Inland consumpion (Observed)",SUM(D111,D113,D114,D115),_xlfn.IFERROR(VLOOKUP(CONCATENATE('Table 1'!$K110,".",'Table 1'!$J110),Data!$A$3:$C$330,2,FALSE),0))</f>
        <v>0</v>
      </c>
      <c r="E110" s="174">
        <f>E105+E106+E107-E108+E109</f>
        <v>0</v>
      </c>
      <c r="F110" s="175">
        <f t="shared" si="0"/>
      </c>
      <c r="G110" s="185">
        <f>IF(E110=E105+E106+E107-E108+E109,IF(E110&lt;0,"WARNING! Negative consumption!",""),"ERROR! Please recalculate.")</f>
      </c>
      <c r="H110" s="179"/>
      <c r="J110" t="s">
        <v>244</v>
      </c>
      <c r="K110" t="s">
        <v>151</v>
      </c>
    </row>
    <row r="111" spans="2:11" ht="12.75" customHeight="1">
      <c r="B111" s="197"/>
      <c r="C111" s="171" t="s">
        <v>652</v>
      </c>
      <c r="D111" s="188">
        <f>IF(C111="Inland consumpion (Observed)",SUM(D112,D114,D115,D116),_xlfn.IFERROR(VLOOKUP(CONCATENATE('Table 1'!$K111,".",'Table 1'!$J111),Data!$A$3:$C$330,2,FALSE),0))</f>
        <v>0</v>
      </c>
      <c r="E111" s="191">
        <f>E110-E112</f>
        <v>0</v>
      </c>
      <c r="F111" s="176">
        <f t="shared" si="0"/>
      </c>
      <c r="G111" s="186">
        <f>IF(E111&lt;&gt;(E110-E112),"ERROR! STATDIFF does not equal Inland Consumption (Calculated) - Inland Consumption (Observed)","")</f>
      </c>
      <c r="H111" s="180"/>
      <c r="J111" s="158" t="s">
        <v>665</v>
      </c>
      <c r="K111" s="158" t="s">
        <v>151</v>
      </c>
    </row>
    <row r="112" spans="2:11" ht="12.75" customHeight="1">
      <c r="B112" s="197"/>
      <c r="C112" s="162" t="s">
        <v>653</v>
      </c>
      <c r="D112" s="189">
        <f>IF(C112="Inland consumpion (Observed)",SUM(D113,D115,D116,D117),_xlfn.IFERROR(VLOOKUP(CONCATENATE('Table 1'!$K112,".",'Table 1'!$J112),Data!$A$3:$C$330,2,FALSE),0))</f>
        <v>0</v>
      </c>
      <c r="E112" s="192">
        <f>SUM(E113,E115,E116,E117)</f>
        <v>0</v>
      </c>
      <c r="F112" s="176">
        <f t="shared" si="0"/>
      </c>
      <c r="G112" s="186">
        <f>IF(E112&lt;0,"ERROR! Do not enter negative numbers",IF(E112&lt;&gt;SUM(E113,E115,E116,E117),"ERROR: Inland consumption (observed) does not equal Transformation + Energy sector + Distribution losses + TFC",""))</f>
      </c>
      <c r="H112" s="180"/>
      <c r="J112" s="161"/>
      <c r="K112" s="161" t="s">
        <v>151</v>
      </c>
    </row>
    <row r="113" spans="2:11" ht="12.75" customHeight="1">
      <c r="B113" s="197"/>
      <c r="C113" s="163" t="s">
        <v>654</v>
      </c>
      <c r="D113" s="188">
        <f>IF(C113="Inland consumpion (Observed)",SUM(D114,D116,D117,D118),_xlfn.IFERROR(VLOOKUP(CONCATENATE('Table 1'!$K113,".",'Table 1'!$J113),Data!$A$3:$C$330,2,FALSE),0))</f>
        <v>0</v>
      </c>
      <c r="E113" s="193"/>
      <c r="F113" s="176">
        <f t="shared" si="0"/>
      </c>
      <c r="G113" s="186">
        <f>IF(E113&lt;0,"ERROR! Do not enter negative numbers",IF(E113&lt;E114,"ERROR: The subtotal Transformation cannot be less than of which: input to electricity and heat generation",""))</f>
      </c>
      <c r="H113" s="180"/>
      <c r="J113" s="159" t="s">
        <v>666</v>
      </c>
      <c r="K113" s="159" t="s">
        <v>151</v>
      </c>
    </row>
    <row r="114" spans="2:11" ht="12.75" customHeight="1">
      <c r="B114" s="197"/>
      <c r="C114" s="165" t="s">
        <v>683</v>
      </c>
      <c r="D114" s="188">
        <f>IF(C114="Inland consumpion (Observed)",SUM(D115,D117,D118,D119),_xlfn.IFERROR(VLOOKUP(CONCATENATE('Table 1'!$K114,".",'Table 1'!$J114),Data!$A$3:$C$330,2,FALSE),0))</f>
        <v>0</v>
      </c>
      <c r="E114" s="193"/>
      <c r="F114" s="176">
        <f t="shared" si="0"/>
      </c>
      <c r="G114" s="186">
        <f>IF(E114&lt;0,"ERROR! Do not enter negative numbers",IF(E114&gt;E113,"ERROR: This item cannot be higher than the subtotal Transformation",""))</f>
      </c>
      <c r="H114" s="180"/>
      <c r="J114" s="195" t="s">
        <v>682</v>
      </c>
      <c r="K114" s="159" t="s">
        <v>151</v>
      </c>
    </row>
    <row r="115" spans="2:11" ht="12.75" customHeight="1">
      <c r="B115" s="197"/>
      <c r="C115" s="163" t="s">
        <v>655</v>
      </c>
      <c r="D115" s="188">
        <f>IF(C115="Inland consumpion (Observed)",SUM(D116,D118,D119,D120),_xlfn.IFERROR(VLOOKUP(CONCATENATE('Table 1'!$K115,".",'Table 1'!$J115),Data!$A$3:$C$330,2,FALSE),0))</f>
        <v>0</v>
      </c>
      <c r="E115" s="193"/>
      <c r="F115" s="176">
        <f t="shared" si="0"/>
      </c>
      <c r="G115" s="186">
        <f>IF(E115&lt;0,"ERROR! Do not enter negative numbers","")</f>
      </c>
      <c r="H115" s="180"/>
      <c r="J115" s="159" t="s">
        <v>667</v>
      </c>
      <c r="K115" s="159" t="s">
        <v>151</v>
      </c>
    </row>
    <row r="116" spans="2:11" ht="12.75" customHeight="1">
      <c r="B116" s="197"/>
      <c r="C116" s="163" t="s">
        <v>656</v>
      </c>
      <c r="D116" s="188">
        <f>IF(C116="Inland consumpion (Observed)",SUM(D117,D119,D120,D121),_xlfn.IFERROR(VLOOKUP(CONCATENATE('Table 1'!$K116,".",'Table 1'!$J116),Data!$A$3:$C$330,2,FALSE),0))</f>
        <v>0</v>
      </c>
      <c r="E116" s="193"/>
      <c r="F116" s="176">
        <f t="shared" si="0"/>
      </c>
      <c r="G116" s="186">
        <f>IF(E116&lt;0,"ERROR! Do not enter negative numbers","")</f>
      </c>
      <c r="H116" s="180"/>
      <c r="J116" s="159" t="s">
        <v>668</v>
      </c>
      <c r="K116" s="159" t="s">
        <v>151</v>
      </c>
    </row>
    <row r="117" spans="2:11" ht="12.75" customHeight="1">
      <c r="B117" s="197"/>
      <c r="C117" s="163" t="s">
        <v>657</v>
      </c>
      <c r="D117" s="188">
        <f>IF(C117="Inland consumpion (Observed)",SUM(D118,D120,D121,D122),_xlfn.IFERROR(VLOOKUP(CONCATENATE('Table 1'!$K117,".",'Table 1'!$J117),Data!$A$3:$C$330,2,FALSE),0))</f>
        <v>0</v>
      </c>
      <c r="E117" s="191">
        <f>SUM(E118:E119)</f>
        <v>0</v>
      </c>
      <c r="F117" s="176">
        <f t="shared" si="0"/>
      </c>
      <c r="G117" s="186">
        <f>IF(E117&lt;0,"ERROR! Do not enter negative numbers",IF(E117&lt;&gt;SUM(E118:E119),"ERROR: TFC does not equal Total Final Non-Energy Consumption + Total Final Energy Consumption",""))</f>
      </c>
      <c r="H117" s="180"/>
      <c r="J117" s="159" t="s">
        <v>669</v>
      </c>
      <c r="K117" s="159" t="s">
        <v>151</v>
      </c>
    </row>
    <row r="118" spans="2:11" ht="12.75" customHeight="1">
      <c r="B118" s="197"/>
      <c r="C118" s="164" t="s">
        <v>658</v>
      </c>
      <c r="D118" s="188">
        <f>IF(C118="Inland consumpion (Observed)",SUM(D119,D121,D122,D123),_xlfn.IFERROR(VLOOKUP(CONCATENATE('Table 1'!$K118,".",'Table 1'!$J118),Data!$A$3:$C$330,2,FALSE),0))</f>
        <v>0</v>
      </c>
      <c r="E118" s="193"/>
      <c r="F118" s="176">
        <f t="shared" si="0"/>
      </c>
      <c r="G118" s="186">
        <f>IF(E118&lt;0,"ERROR! Do not enter negative numbers","")</f>
      </c>
      <c r="H118" s="180"/>
      <c r="J118" s="159" t="s">
        <v>670</v>
      </c>
      <c r="K118" s="159" t="s">
        <v>151</v>
      </c>
    </row>
    <row r="119" spans="2:11" ht="12.75" customHeight="1">
      <c r="B119" s="197"/>
      <c r="C119" s="164" t="s">
        <v>659</v>
      </c>
      <c r="D119" s="188">
        <f>IF(C119="Inland consumpion (Observed)",SUM(D120,D122,D123,D124),_xlfn.IFERROR(VLOOKUP(CONCATENATE('Table 1'!$K119,".",'Table 1'!$J119),Data!$A$3:$C$330,2,FALSE),0))</f>
        <v>0</v>
      </c>
      <c r="E119" s="191">
        <f>SUM(E120:E122)</f>
        <v>0</v>
      </c>
      <c r="F119" s="176">
        <f t="shared" si="0"/>
      </c>
      <c r="G119" s="186">
        <f>IF(E119&lt;0,"ERROR! Do not enter negative numbers",IF(E119&lt;&gt;SUM(E120:E122),"ERROR: Total Final Energy Consumption does not equal Industry + Transport + Other sectors",""))</f>
      </c>
      <c r="H119" s="180"/>
      <c r="J119" s="159" t="s">
        <v>671</v>
      </c>
      <c r="K119" s="159" t="s">
        <v>151</v>
      </c>
    </row>
    <row r="120" spans="2:11" ht="12.75" customHeight="1">
      <c r="B120" s="197"/>
      <c r="C120" s="165" t="s">
        <v>660</v>
      </c>
      <c r="D120" s="188">
        <f>IF(C120="Inland consumpion (Observed)",SUM(D121,D123,D124,D125),_xlfn.IFERROR(VLOOKUP(CONCATENATE('Table 1'!$K120,".",'Table 1'!$J120),Data!$A$3:$C$330,2,FALSE),0))</f>
        <v>0</v>
      </c>
      <c r="E120" s="193"/>
      <c r="F120" s="176">
        <f t="shared" si="0"/>
      </c>
      <c r="G120" s="186">
        <f>IF(E120&lt;0,"ERROR! Do not enter negative numbers","")</f>
      </c>
      <c r="H120" s="180"/>
      <c r="J120" s="159" t="s">
        <v>681</v>
      </c>
      <c r="K120" s="159" t="s">
        <v>151</v>
      </c>
    </row>
    <row r="121" spans="2:11" ht="12.75" customHeight="1">
      <c r="B121" s="197"/>
      <c r="C121" s="165" t="s">
        <v>661</v>
      </c>
      <c r="D121" s="188">
        <f>IF(C121="Inland consumpion (Observed)",SUM(D122,D124,D125,D126),_xlfn.IFERROR(VLOOKUP(CONCATENATE('Table 1'!$K121,".",'Table 1'!$J121),Data!$A$3:$C$330,2,FALSE),0))</f>
        <v>0</v>
      </c>
      <c r="E121" s="193"/>
      <c r="F121" s="176">
        <f t="shared" si="0"/>
      </c>
      <c r="G121" s="186">
        <f>IF(E121&lt;0,"ERROR! Do not enter negative numbers","")</f>
      </c>
      <c r="H121" s="180"/>
      <c r="J121" s="159" t="s">
        <v>672</v>
      </c>
      <c r="K121" s="159" t="s">
        <v>151</v>
      </c>
    </row>
    <row r="122" spans="2:11" ht="12.75" customHeight="1">
      <c r="B122" s="197"/>
      <c r="C122" s="165" t="s">
        <v>662</v>
      </c>
      <c r="D122" s="188">
        <f>IF(C122="Inland consumpion (Observed)",SUM(D123,D125,D126,D127),_xlfn.IFERROR(VLOOKUP(CONCATENATE('Table 1'!$K122,".",'Table 1'!$J122),Data!$A$3:$C$330,2,FALSE),0))</f>
        <v>0</v>
      </c>
      <c r="E122" s="193"/>
      <c r="F122" s="176">
        <f t="shared" si="0"/>
      </c>
      <c r="G122" s="186">
        <f>IF(E122&lt;0,"ERROR! Do not enter negative numbers",IF(E122&lt;SUM(E123:E124),"ERROR: The subtotal Other Sectors cannot be less than the sum of Residential + Commercial &amp;  Public services",""))</f>
      </c>
      <c r="H122" s="180"/>
      <c r="J122" s="159" t="s">
        <v>673</v>
      </c>
      <c r="K122" s="159" t="s">
        <v>151</v>
      </c>
    </row>
    <row r="123" spans="2:11" ht="12.75" customHeight="1">
      <c r="B123" s="197"/>
      <c r="C123" s="166" t="s">
        <v>663</v>
      </c>
      <c r="D123" s="188">
        <f>IF(C123="Inland consumpion (Observed)",SUM(D124,D126,D127,D128),_xlfn.IFERROR(VLOOKUP(CONCATENATE('Table 1'!$K123,".",'Table 1'!$J123),Data!$A$3:$C$330,2,FALSE),0))</f>
        <v>0</v>
      </c>
      <c r="E123" s="193"/>
      <c r="F123" s="176">
        <f t="shared" si="0"/>
      </c>
      <c r="G123" s="186">
        <f>IF(E123&lt;0,"ERROR! Do not enter negative numbers","")</f>
      </c>
      <c r="H123" s="180"/>
      <c r="J123" s="159" t="s">
        <v>674</v>
      </c>
      <c r="K123" s="159" t="s">
        <v>151</v>
      </c>
    </row>
    <row r="124" spans="2:11" ht="12.75" customHeight="1" thickBot="1">
      <c r="B124" s="198"/>
      <c r="C124" s="167" t="s">
        <v>664</v>
      </c>
      <c r="D124" s="190">
        <f>IF(C124="Inland consumpion (Observed)",SUM(D125,D127,D128,D129),_xlfn.IFERROR(VLOOKUP(CONCATENATE('Table 1'!$K124,".",'Table 1'!$J124),Data!$A$3:$C$330,2,FALSE),0))</f>
        <v>0</v>
      </c>
      <c r="E124" s="194"/>
      <c r="F124" s="177">
        <f t="shared" si="0"/>
      </c>
      <c r="G124" s="187">
        <f>IF(E124&lt;0,"ERROR! Do not enter negative numbers","")</f>
      </c>
      <c r="H124" s="181"/>
      <c r="J124" s="160" t="s">
        <v>684</v>
      </c>
      <c r="K124" s="160" t="s">
        <v>151</v>
      </c>
    </row>
    <row r="125" spans="2:11" ht="12.75" customHeight="1">
      <c r="B125" s="196" t="s">
        <v>356</v>
      </c>
      <c r="C125" s="74" t="str">
        <f aca="true" t="shared" si="5" ref="C125:C130">C105</f>
        <v>Indigenous production</v>
      </c>
      <c r="D125" s="169">
        <f>IF(C125="Inland consumpion (Observed)",SUM(D126,D128,D129,D130),_xlfn.IFERROR(VLOOKUP(CONCATENATE('Table 1'!$K125,".",'Table 1'!$J125),Data!$A$3:$C$330,2,FALSE),0))</f>
        <v>0</v>
      </c>
      <c r="E125" s="170"/>
      <c r="F125" s="168">
        <f t="shared" si="0"/>
      </c>
      <c r="G125" s="184">
        <f>IF(E125&lt;0,"ERROR! Do not enter negative numbers","")</f>
      </c>
      <c r="H125" s="178"/>
      <c r="J125" t="s">
        <v>239</v>
      </c>
      <c r="K125" t="s">
        <v>9</v>
      </c>
    </row>
    <row r="126" spans="2:11" ht="12.75" customHeight="1">
      <c r="B126" s="197"/>
      <c r="C126" s="74" t="str">
        <f t="shared" si="5"/>
        <v>From other sources</v>
      </c>
      <c r="D126" s="169">
        <f>IF(C126="Inland consumpion (Observed)",SUM(D127,D129,D130,D131),_xlfn.IFERROR(VLOOKUP(CONCATENATE('Table 1'!$K126,".",'Table 1'!$J126),Data!$A$3:$C$330,2,FALSE),0))</f>
        <v>0</v>
      </c>
      <c r="E126" s="170"/>
      <c r="F126" s="168">
        <f aca="true" t="shared" si="6" ref="F126:F189">IF(D126=0,IF(E126&lt;&gt;0,"new value",""),IF(ISBLANK(E126),"",E126/D126-1))</f>
      </c>
      <c r="G126" s="184">
        <f>IF(E126&lt;0,"ERROR! Do not enter negative numbers","")</f>
      </c>
      <c r="H126" s="178"/>
      <c r="J126" t="s">
        <v>240</v>
      </c>
      <c r="K126" t="s">
        <v>9</v>
      </c>
    </row>
    <row r="127" spans="2:11" ht="12.75" customHeight="1">
      <c r="B127" s="197"/>
      <c r="C127" s="74" t="str">
        <f t="shared" si="5"/>
        <v>Total imports (Balance)</v>
      </c>
      <c r="D127" s="169">
        <f>IF(C127="Inland consumpion (Observed)",SUM(D128,D130,D131,D132),_xlfn.IFERROR(VLOOKUP(CONCATENATE('Table 1'!$K127,".",'Table 1'!$J127),Data!$A$3:$C$330,2,FALSE),0))</f>
        <v>0</v>
      </c>
      <c r="E127" s="170"/>
      <c r="F127" s="168">
        <f t="shared" si="6"/>
      </c>
      <c r="G127" s="184">
        <f>IF(ABS(E127-Imports!K$170)&gt;2,"ERROR: Import Total &lt;&gt; country sum ± 2","")</f>
      </c>
      <c r="H127" s="178"/>
      <c r="J127" t="s">
        <v>241</v>
      </c>
      <c r="K127" t="s">
        <v>9</v>
      </c>
    </row>
    <row r="128" spans="2:11" ht="12.75" customHeight="1">
      <c r="B128" s="197"/>
      <c r="C128" s="74" t="str">
        <f t="shared" si="5"/>
        <v>Total exports (Balance)</v>
      </c>
      <c r="D128" s="169">
        <f>IF(C128="Inland consumpion (Observed)",SUM(D129,D131,D132,D133),_xlfn.IFERROR(VLOOKUP(CONCATENATE('Table 1'!$K128,".",'Table 1'!$J128),Data!$A$3:$C$330,2,FALSE),0))</f>
        <v>0</v>
      </c>
      <c r="E128" s="170"/>
      <c r="F128" s="168">
        <f t="shared" si="6"/>
      </c>
      <c r="G128" s="184">
        <f>IF(E128-Exports!K$170&lt;&gt;0,"ERROR: Export Total &lt;&gt; country sum ± 2","")</f>
      </c>
      <c r="H128" s="178"/>
      <c r="J128" t="s">
        <v>242</v>
      </c>
      <c r="K128" t="s">
        <v>9</v>
      </c>
    </row>
    <row r="129" spans="2:11" ht="12.75" customHeight="1">
      <c r="B129" s="197"/>
      <c r="C129" s="74" t="str">
        <f t="shared" si="5"/>
        <v>Stock changes (National territory)</v>
      </c>
      <c r="D129" s="169">
        <f>IF(C129="Inland consumpion (Observed)",SUM(D130,D132,D133,D134),_xlfn.IFERROR(VLOOKUP(CONCATENATE('Table 1'!$K129,".",'Table 1'!$J129),Data!$A$3:$C$330,2,FALSE),0))</f>
        <v>0</v>
      </c>
      <c r="E129" s="170"/>
      <c r="F129" s="168">
        <f t="shared" si="6"/>
      </c>
      <c r="G129" s="184"/>
      <c r="H129" s="178"/>
      <c r="J129" t="s">
        <v>243</v>
      </c>
      <c r="K129" t="s">
        <v>9</v>
      </c>
    </row>
    <row r="130" spans="2:11" ht="12.75" customHeight="1">
      <c r="B130" s="197"/>
      <c r="C130" s="172" t="str">
        <f t="shared" si="5"/>
        <v>Inland consumption (calculated)</v>
      </c>
      <c r="D130" s="173">
        <f>IF(C130="Inland consumpion (Observed)",SUM(D131,D133,D134,D135),_xlfn.IFERROR(VLOOKUP(CONCATENATE('Table 1'!$K130,".",'Table 1'!$J130),Data!$A$3:$C$330,2,FALSE),0))</f>
        <v>0</v>
      </c>
      <c r="E130" s="174">
        <f>E125+E126+E127-E128+E129</f>
        <v>0</v>
      </c>
      <c r="F130" s="175">
        <f t="shared" si="6"/>
      </c>
      <c r="G130" s="185">
        <f>IF(E130=E125+E126+E127-E128+E129,IF(E130&lt;0,"WARNING! Negative consumption!",""),"ERROR! Please recalculate.")</f>
      </c>
      <c r="H130" s="179"/>
      <c r="J130" t="s">
        <v>244</v>
      </c>
      <c r="K130" t="s">
        <v>9</v>
      </c>
    </row>
    <row r="131" spans="2:11" ht="12.75" customHeight="1">
      <c r="B131" s="197"/>
      <c r="C131" s="171" t="s">
        <v>652</v>
      </c>
      <c r="D131" s="188">
        <f>IF(C131="Inland consumpion (Observed)",SUM(D132,D134,D135,D136),_xlfn.IFERROR(VLOOKUP(CONCATENATE('Table 1'!$K131,".",'Table 1'!$J131),Data!$A$3:$C$330,2,FALSE),0))</f>
        <v>0</v>
      </c>
      <c r="E131" s="191">
        <f>E130-E132</f>
        <v>0</v>
      </c>
      <c r="F131" s="176">
        <f t="shared" si="6"/>
      </c>
      <c r="G131" s="186">
        <f>IF(E131&lt;&gt;(E130-E132),"ERROR! STATDIFF does not equal Inland Consumption (Calculated) - Inland Consumption (Observed)","")</f>
      </c>
      <c r="H131" s="180"/>
      <c r="J131" s="158" t="s">
        <v>665</v>
      </c>
      <c r="K131" s="158" t="s">
        <v>9</v>
      </c>
    </row>
    <row r="132" spans="2:11" ht="12.75" customHeight="1">
      <c r="B132" s="197"/>
      <c r="C132" s="162" t="s">
        <v>653</v>
      </c>
      <c r="D132" s="189">
        <f>IF(C132="Inland consumpion (Observed)",SUM(D133,D135,D136,D137),_xlfn.IFERROR(VLOOKUP(CONCATENATE('Table 1'!$K132,".",'Table 1'!$J132),Data!$A$3:$C$330,2,FALSE),0))</f>
        <v>0</v>
      </c>
      <c r="E132" s="192">
        <f>SUM(E133,E135,E136,E137)</f>
        <v>0</v>
      </c>
      <c r="F132" s="176">
        <f t="shared" si="6"/>
      </c>
      <c r="G132" s="186">
        <f>IF(E132&lt;0,"ERROR! Do not enter negative numbers",IF(E132&lt;&gt;SUM(E133,E135,E136,E137),"ERROR: Inland consumption (observed) does not equal Transformation + Energy sector + Distribution losses + TFC",""))</f>
      </c>
      <c r="H132" s="180"/>
      <c r="J132" s="161"/>
      <c r="K132" s="161" t="s">
        <v>9</v>
      </c>
    </row>
    <row r="133" spans="2:11" ht="12.75" customHeight="1">
      <c r="B133" s="197"/>
      <c r="C133" s="163" t="s">
        <v>654</v>
      </c>
      <c r="D133" s="188">
        <f>IF(C133="Inland consumpion (Observed)",SUM(D134,D136,D137,D138),_xlfn.IFERROR(VLOOKUP(CONCATENATE('Table 1'!$K133,".",'Table 1'!$J133),Data!$A$3:$C$330,2,FALSE),0))</f>
        <v>0</v>
      </c>
      <c r="E133" s="193"/>
      <c r="F133" s="176">
        <f t="shared" si="6"/>
      </c>
      <c r="G133" s="186">
        <f>IF(E133&lt;0,"ERROR! Do not enter negative numbers",IF(E133&lt;E134,"ERROR: The subtotal Transformation cannot be less than of which: input to electricity and heat generation",""))</f>
      </c>
      <c r="H133" s="180"/>
      <c r="J133" s="159" t="s">
        <v>666</v>
      </c>
      <c r="K133" s="159" t="s">
        <v>9</v>
      </c>
    </row>
    <row r="134" spans="2:11" ht="12.75" customHeight="1">
      <c r="B134" s="197"/>
      <c r="C134" s="165" t="s">
        <v>683</v>
      </c>
      <c r="D134" s="188">
        <f>IF(C134="Inland consumpion (Observed)",SUM(D135,D137,D138,D139),_xlfn.IFERROR(VLOOKUP(CONCATENATE('Table 1'!$K134,".",'Table 1'!$J134),Data!$A$3:$C$330,2,FALSE),0))</f>
        <v>0</v>
      </c>
      <c r="E134" s="193"/>
      <c r="F134" s="176">
        <f t="shared" si="6"/>
      </c>
      <c r="G134" s="186">
        <f>IF(E134&lt;0,"ERROR! Do not enter negative numbers",IF(E134&gt;E133,"ERROR: This item cannot be higher than the subtotal Transformation",""))</f>
      </c>
      <c r="H134" s="180"/>
      <c r="J134" s="195" t="s">
        <v>682</v>
      </c>
      <c r="K134" s="159" t="s">
        <v>9</v>
      </c>
    </row>
    <row r="135" spans="2:11" ht="12.75" customHeight="1">
      <c r="B135" s="197"/>
      <c r="C135" s="163" t="s">
        <v>655</v>
      </c>
      <c r="D135" s="188">
        <f>IF(C135="Inland consumpion (Observed)",SUM(D136,D138,D139,D140),_xlfn.IFERROR(VLOOKUP(CONCATENATE('Table 1'!$K135,".",'Table 1'!$J135),Data!$A$3:$C$330,2,FALSE),0))</f>
        <v>0</v>
      </c>
      <c r="E135" s="193"/>
      <c r="F135" s="176">
        <f t="shared" si="6"/>
      </c>
      <c r="G135" s="186">
        <f>IF(E135&lt;0,"ERROR! Do not enter negative numbers","")</f>
      </c>
      <c r="H135" s="180"/>
      <c r="J135" s="159" t="s">
        <v>667</v>
      </c>
      <c r="K135" s="159" t="s">
        <v>9</v>
      </c>
    </row>
    <row r="136" spans="2:11" ht="12.75" customHeight="1">
      <c r="B136" s="197"/>
      <c r="C136" s="163" t="s">
        <v>656</v>
      </c>
      <c r="D136" s="188">
        <f>IF(C136="Inland consumpion (Observed)",SUM(D137,D139,D140,D141),_xlfn.IFERROR(VLOOKUP(CONCATENATE('Table 1'!$K136,".",'Table 1'!$J136),Data!$A$3:$C$330,2,FALSE),0))</f>
        <v>0</v>
      </c>
      <c r="E136" s="193"/>
      <c r="F136" s="176">
        <f t="shared" si="6"/>
      </c>
      <c r="G136" s="186">
        <f>IF(E136&lt;0,"ERROR! Do not enter negative numbers","")</f>
      </c>
      <c r="H136" s="180"/>
      <c r="J136" s="159" t="s">
        <v>668</v>
      </c>
      <c r="K136" s="159" t="s">
        <v>9</v>
      </c>
    </row>
    <row r="137" spans="2:11" ht="12.75" customHeight="1">
      <c r="B137" s="197"/>
      <c r="C137" s="163" t="s">
        <v>657</v>
      </c>
      <c r="D137" s="188">
        <f>IF(C137="Inland consumpion (Observed)",SUM(D138,D140,D141,D142),_xlfn.IFERROR(VLOOKUP(CONCATENATE('Table 1'!$K137,".",'Table 1'!$J137),Data!$A$3:$C$330,2,FALSE),0))</f>
        <v>0</v>
      </c>
      <c r="E137" s="191">
        <f>SUM(E138:E139)</f>
        <v>0</v>
      </c>
      <c r="F137" s="176">
        <f t="shared" si="6"/>
      </c>
      <c r="G137" s="186">
        <f>IF(E137&lt;0,"ERROR! Do not enter negative numbers",IF(E137&lt;&gt;SUM(E138:E139),"ERROR: TFC does not equal Total Final Non-Energy Consumption + Total Final Energy Consumption",""))</f>
      </c>
      <c r="H137" s="180"/>
      <c r="J137" s="159" t="s">
        <v>669</v>
      </c>
      <c r="K137" s="159" t="s">
        <v>9</v>
      </c>
    </row>
    <row r="138" spans="2:11" ht="12.75" customHeight="1">
      <c r="B138" s="197"/>
      <c r="C138" s="164" t="s">
        <v>658</v>
      </c>
      <c r="D138" s="188">
        <f>IF(C138="Inland consumpion (Observed)",SUM(D139,D141,D142,D143),_xlfn.IFERROR(VLOOKUP(CONCATENATE('Table 1'!$K138,".",'Table 1'!$J138),Data!$A$3:$C$330,2,FALSE),0))</f>
        <v>0</v>
      </c>
      <c r="E138" s="193"/>
      <c r="F138" s="176">
        <f t="shared" si="6"/>
      </c>
      <c r="G138" s="186">
        <f>IF(E138&lt;0,"ERROR! Do not enter negative numbers","")</f>
      </c>
      <c r="H138" s="180"/>
      <c r="J138" s="159" t="s">
        <v>670</v>
      </c>
      <c r="K138" s="159" t="s">
        <v>9</v>
      </c>
    </row>
    <row r="139" spans="2:11" ht="12.75" customHeight="1">
      <c r="B139" s="197"/>
      <c r="C139" s="164" t="s">
        <v>659</v>
      </c>
      <c r="D139" s="188">
        <f>IF(C139="Inland consumpion (Observed)",SUM(D140,D142,D143,D144),_xlfn.IFERROR(VLOOKUP(CONCATENATE('Table 1'!$K139,".",'Table 1'!$J139),Data!$A$3:$C$330,2,FALSE),0))</f>
        <v>0</v>
      </c>
      <c r="E139" s="191">
        <f>SUM(E140:E142)</f>
        <v>0</v>
      </c>
      <c r="F139" s="176">
        <f t="shared" si="6"/>
      </c>
      <c r="G139" s="186">
        <f>IF(E139&lt;0,"ERROR! Do not enter negative numbers",IF(E139&lt;&gt;SUM(E140:E142),"ERROR: Total Final Energy Consumption does not equal Industry + Transport + Other sectors",""))</f>
      </c>
      <c r="H139" s="180"/>
      <c r="J139" s="159" t="s">
        <v>671</v>
      </c>
      <c r="K139" s="159" t="s">
        <v>9</v>
      </c>
    </row>
    <row r="140" spans="2:11" ht="12.75" customHeight="1">
      <c r="B140" s="197"/>
      <c r="C140" s="165" t="s">
        <v>660</v>
      </c>
      <c r="D140" s="188">
        <f>IF(C140="Inland consumpion (Observed)",SUM(D141,D143,D144,D145),_xlfn.IFERROR(VLOOKUP(CONCATENATE('Table 1'!$K140,".",'Table 1'!$J140),Data!$A$3:$C$330,2,FALSE),0))</f>
        <v>0</v>
      </c>
      <c r="E140" s="193"/>
      <c r="F140" s="176">
        <f t="shared" si="6"/>
      </c>
      <c r="G140" s="186">
        <f>IF(E140&lt;0,"ERROR! Do not enter negative numbers","")</f>
      </c>
      <c r="H140" s="180"/>
      <c r="J140" s="159" t="s">
        <v>681</v>
      </c>
      <c r="K140" s="159" t="s">
        <v>9</v>
      </c>
    </row>
    <row r="141" spans="2:11" ht="12.75" customHeight="1">
      <c r="B141" s="197"/>
      <c r="C141" s="165" t="s">
        <v>661</v>
      </c>
      <c r="D141" s="188">
        <f>IF(C141="Inland consumpion (Observed)",SUM(D142,D144,D145,D146),_xlfn.IFERROR(VLOOKUP(CONCATENATE('Table 1'!$K141,".",'Table 1'!$J141),Data!$A$3:$C$330,2,FALSE),0))</f>
        <v>0</v>
      </c>
      <c r="E141" s="193"/>
      <c r="F141" s="176">
        <f t="shared" si="6"/>
      </c>
      <c r="G141" s="186">
        <f>IF(E141&lt;0,"ERROR! Do not enter negative numbers","")</f>
      </c>
      <c r="H141" s="180"/>
      <c r="J141" s="159" t="s">
        <v>672</v>
      </c>
      <c r="K141" s="159" t="s">
        <v>9</v>
      </c>
    </row>
    <row r="142" spans="2:11" ht="12.75" customHeight="1">
      <c r="B142" s="197"/>
      <c r="C142" s="165" t="s">
        <v>662</v>
      </c>
      <c r="D142" s="188">
        <f>IF(C142="Inland consumpion (Observed)",SUM(D143,D145,D146,D147),_xlfn.IFERROR(VLOOKUP(CONCATENATE('Table 1'!$K142,".",'Table 1'!$J142),Data!$A$3:$C$330,2,FALSE),0))</f>
        <v>0</v>
      </c>
      <c r="E142" s="193"/>
      <c r="F142" s="176">
        <f t="shared" si="6"/>
      </c>
      <c r="G142" s="186">
        <f>IF(E142&lt;0,"ERROR! Do not enter negative numbers",IF(E142&lt;SUM(E143:E144),"ERROR: The subtotal Other Sectors cannot be less than the sum of Residential + Commercial &amp;  Public services",""))</f>
      </c>
      <c r="H142" s="180"/>
      <c r="J142" s="159" t="s">
        <v>673</v>
      </c>
      <c r="K142" s="159" t="s">
        <v>9</v>
      </c>
    </row>
    <row r="143" spans="2:11" ht="12.75" customHeight="1">
      <c r="B143" s="197"/>
      <c r="C143" s="166" t="s">
        <v>663</v>
      </c>
      <c r="D143" s="188">
        <f>IF(C143="Inland consumpion (Observed)",SUM(D144,D146,D147,D148),_xlfn.IFERROR(VLOOKUP(CONCATENATE('Table 1'!$K143,".",'Table 1'!$J143),Data!$A$3:$C$330,2,FALSE),0))</f>
        <v>0</v>
      </c>
      <c r="E143" s="193"/>
      <c r="F143" s="176">
        <f t="shared" si="6"/>
      </c>
      <c r="G143" s="186">
        <f>IF(E143&lt;0,"ERROR! Do not enter negative numbers","")</f>
      </c>
      <c r="H143" s="180"/>
      <c r="J143" s="159" t="s">
        <v>674</v>
      </c>
      <c r="K143" s="159" t="s">
        <v>9</v>
      </c>
    </row>
    <row r="144" spans="2:11" ht="12.75" customHeight="1" thickBot="1">
      <c r="B144" s="198"/>
      <c r="C144" s="167" t="s">
        <v>664</v>
      </c>
      <c r="D144" s="190">
        <f>IF(C144="Inland consumpion (Observed)",SUM(D145,D147,D148,D149),_xlfn.IFERROR(VLOOKUP(CONCATENATE('Table 1'!$K144,".",'Table 1'!$J144),Data!$A$3:$C$330,2,FALSE),0))</f>
        <v>0</v>
      </c>
      <c r="E144" s="194"/>
      <c r="F144" s="177">
        <f t="shared" si="6"/>
      </c>
      <c r="G144" s="187">
        <f>IF(E144&lt;0,"ERROR! Do not enter negative numbers","")</f>
      </c>
      <c r="H144" s="181"/>
      <c r="J144" s="160" t="s">
        <v>684</v>
      </c>
      <c r="K144" s="160" t="s">
        <v>9</v>
      </c>
    </row>
    <row r="145" spans="2:11" ht="12.75" customHeight="1">
      <c r="B145" s="196" t="s">
        <v>357</v>
      </c>
      <c r="C145" s="74" t="str">
        <f aca="true" t="shared" si="7" ref="C145:C150">C125</f>
        <v>Indigenous production</v>
      </c>
      <c r="D145" s="169">
        <f>IF(C145="Inland consumpion (Observed)",SUM(D146,D148,D149,D150),_xlfn.IFERROR(VLOOKUP(CONCATENATE('Table 1'!$K145,".",'Table 1'!$J145),Data!$A$3:$C$330,2,FALSE),0))</f>
        <v>0</v>
      </c>
      <c r="E145" s="170"/>
      <c r="F145" s="168">
        <f t="shared" si="6"/>
      </c>
      <c r="G145" s="184">
        <f>IF(E145&lt;0,"ERROR! Do not enter negative numbers","")</f>
      </c>
      <c r="H145" s="178"/>
      <c r="J145" t="s">
        <v>239</v>
      </c>
      <c r="K145" t="s">
        <v>246</v>
      </c>
    </row>
    <row r="146" spans="2:11" ht="12.75" customHeight="1">
      <c r="B146" s="197"/>
      <c r="C146" s="74" t="str">
        <f t="shared" si="7"/>
        <v>From other sources</v>
      </c>
      <c r="D146" s="169">
        <f>IF(C146="Inland consumpion (Observed)",SUM(D147,D149,D150,D151),_xlfn.IFERROR(VLOOKUP(CONCATENATE('Table 1'!$K146,".",'Table 1'!$J146),Data!$A$3:$C$330,2,FALSE),0))</f>
        <v>0</v>
      </c>
      <c r="E146" s="170"/>
      <c r="F146" s="168">
        <f t="shared" si="6"/>
      </c>
      <c r="G146" s="184">
        <f>IF(E146&lt;0,"ERROR! Do not enter negative numbers","")</f>
      </c>
      <c r="H146" s="178"/>
      <c r="J146" t="s">
        <v>240</v>
      </c>
      <c r="K146" t="s">
        <v>246</v>
      </c>
    </row>
    <row r="147" spans="2:11" ht="12.75" customHeight="1">
      <c r="B147" s="197"/>
      <c r="C147" s="74" t="str">
        <f t="shared" si="7"/>
        <v>Total imports (Balance)</v>
      </c>
      <c r="D147" s="169">
        <f>IF(C147="Inland consumpion (Observed)",SUM(D148,D150,D151,D152),_xlfn.IFERROR(VLOOKUP(CONCATENATE('Table 1'!$K147,".",'Table 1'!$J147),Data!$A$3:$C$330,2,FALSE),0))</f>
        <v>0</v>
      </c>
      <c r="E147" s="170"/>
      <c r="F147" s="168">
        <f t="shared" si="6"/>
      </c>
      <c r="G147" s="184">
        <f>IF(E147&lt;0,"ERROR! Do not enter negative numbers","")</f>
      </c>
      <c r="H147" s="178"/>
      <c r="J147" t="s">
        <v>241</v>
      </c>
      <c r="K147" t="s">
        <v>246</v>
      </c>
    </row>
    <row r="148" spans="2:11" ht="12.75" customHeight="1">
      <c r="B148" s="197"/>
      <c r="C148" s="74" t="str">
        <f t="shared" si="7"/>
        <v>Total exports (Balance)</v>
      </c>
      <c r="D148" s="169">
        <f>IF(C148="Inland consumpion (Observed)",SUM(D149,D151,D152,D153),_xlfn.IFERROR(VLOOKUP(CONCATENATE('Table 1'!$K148,".",'Table 1'!$J148),Data!$A$3:$C$330,2,FALSE),0))</f>
        <v>0</v>
      </c>
      <c r="E148" s="170"/>
      <c r="F148" s="168">
        <f t="shared" si="6"/>
      </c>
      <c r="G148" s="184"/>
      <c r="H148" s="178"/>
      <c r="J148" t="s">
        <v>242</v>
      </c>
      <c r="K148" t="s">
        <v>246</v>
      </c>
    </row>
    <row r="149" spans="2:11" ht="12.75" customHeight="1">
      <c r="B149" s="197"/>
      <c r="C149" s="74" t="str">
        <f t="shared" si="7"/>
        <v>Stock changes (National territory)</v>
      </c>
      <c r="D149" s="169">
        <f>IF(C149="Inland consumpion (Observed)",SUM(D150,D152,D153,D154),_xlfn.IFERROR(VLOOKUP(CONCATENATE('Table 1'!$K149,".",'Table 1'!$J149),Data!$A$3:$C$330,2,FALSE),0))</f>
        <v>0</v>
      </c>
      <c r="E149" s="170"/>
      <c r="F149" s="168">
        <f t="shared" si="6"/>
      </c>
      <c r="G149" s="184"/>
      <c r="H149" s="178"/>
      <c r="J149" t="s">
        <v>243</v>
      </c>
      <c r="K149" t="s">
        <v>246</v>
      </c>
    </row>
    <row r="150" spans="2:11" ht="12.75" customHeight="1">
      <c r="B150" s="197"/>
      <c r="C150" s="172" t="str">
        <f t="shared" si="7"/>
        <v>Inland consumption (calculated)</v>
      </c>
      <c r="D150" s="173">
        <f>IF(C150="Inland consumpion (Observed)",SUM(D151,D153,D154,D155),_xlfn.IFERROR(VLOOKUP(CONCATENATE('Table 1'!$K150,".",'Table 1'!$J150),Data!$A$3:$C$330,2,FALSE),0))</f>
        <v>0</v>
      </c>
      <c r="E150" s="174">
        <f>E145+E146+E147-E148+E149</f>
        <v>0</v>
      </c>
      <c r="F150" s="175">
        <f t="shared" si="6"/>
      </c>
      <c r="G150" s="185">
        <f>IF(E150=E145+E146+E147-E148+E149,IF(E150&lt;0,"WARNING! Negative consumption!",""),"ERROR! Please recalculate.")</f>
      </c>
      <c r="H150" s="179"/>
      <c r="J150" t="s">
        <v>244</v>
      </c>
      <c r="K150" t="s">
        <v>246</v>
      </c>
    </row>
    <row r="151" spans="2:11" ht="12.75" customHeight="1">
      <c r="B151" s="197"/>
      <c r="C151" s="171" t="s">
        <v>652</v>
      </c>
      <c r="D151" s="188">
        <f>IF(C151="Inland consumpion (Observed)",SUM(D152,D154,D155,D156),_xlfn.IFERROR(VLOOKUP(CONCATENATE('Table 1'!$K151,".",'Table 1'!$J151),Data!$A$3:$C$330,2,FALSE),0))</f>
        <v>0</v>
      </c>
      <c r="E151" s="191">
        <f>E150-E152</f>
        <v>0</v>
      </c>
      <c r="F151" s="176">
        <f t="shared" si="6"/>
      </c>
      <c r="G151" s="186">
        <f>IF(E151&lt;&gt;(E150-E152),"ERROR! STATDIFF does not equal Inland Consumption (Calculated) - Inland Consumption (Observed)","")</f>
      </c>
      <c r="H151" s="180"/>
      <c r="J151" s="158" t="s">
        <v>665</v>
      </c>
      <c r="K151" s="158" t="s">
        <v>246</v>
      </c>
    </row>
    <row r="152" spans="2:11" ht="12.75" customHeight="1">
      <c r="B152" s="197"/>
      <c r="C152" s="162" t="s">
        <v>653</v>
      </c>
      <c r="D152" s="189">
        <f>IF(C152="Inland consumpion (Observed)",SUM(D153,D155,D156,D157),_xlfn.IFERROR(VLOOKUP(CONCATENATE('Table 1'!$K152,".",'Table 1'!$J152),Data!$A$3:$C$330,2,FALSE),0))</f>
        <v>0</v>
      </c>
      <c r="E152" s="192">
        <f>SUM(E153,E155,E156,E157)</f>
        <v>0</v>
      </c>
      <c r="F152" s="176">
        <f t="shared" si="6"/>
      </c>
      <c r="G152" s="186">
        <f>IF(E152&lt;0,"ERROR! Do not enter negative numbers",IF(E152&lt;&gt;SUM(E153,E155,E156,E157),"ERROR: Inland consumption (observed) does not equal Transformation + Energy sector + Distribution losses + TFC",""))</f>
      </c>
      <c r="H152" s="180"/>
      <c r="J152" s="161"/>
      <c r="K152" s="161" t="s">
        <v>246</v>
      </c>
    </row>
    <row r="153" spans="2:11" ht="12.75" customHeight="1">
      <c r="B153" s="197"/>
      <c r="C153" s="163" t="s">
        <v>654</v>
      </c>
      <c r="D153" s="188">
        <f>IF(C153="Inland consumpion (Observed)",SUM(D154,D156,D157,D158),_xlfn.IFERROR(VLOOKUP(CONCATENATE('Table 1'!$K153,".",'Table 1'!$J153),Data!$A$3:$C$330,2,FALSE),0))</f>
        <v>0</v>
      </c>
      <c r="E153" s="193"/>
      <c r="F153" s="176">
        <f t="shared" si="6"/>
      </c>
      <c r="G153" s="186">
        <f>IF(E153&lt;0,"ERROR! Do not enter negative numbers",IF(E153&lt;E154,"ERROR: The subtotal Transformation cannot be less than of which: input to electricity and heat generation",""))</f>
      </c>
      <c r="H153" s="180"/>
      <c r="J153" s="159" t="s">
        <v>666</v>
      </c>
      <c r="K153" s="159" t="s">
        <v>246</v>
      </c>
    </row>
    <row r="154" spans="2:11" ht="12.75" customHeight="1">
      <c r="B154" s="197"/>
      <c r="C154" s="165" t="s">
        <v>683</v>
      </c>
      <c r="D154" s="188">
        <f>IF(C154="Inland consumpion (Observed)",SUM(D155,D157,D158,D159),_xlfn.IFERROR(VLOOKUP(CONCATENATE('Table 1'!$K154,".",'Table 1'!$J154),Data!$A$3:$C$330,2,FALSE),0))</f>
        <v>0</v>
      </c>
      <c r="E154" s="193"/>
      <c r="F154" s="176">
        <f t="shared" si="6"/>
      </c>
      <c r="G154" s="186">
        <f>IF(E154&lt;0,"ERROR! Do not enter negative numbers",IF(E154&gt;E153,"ERROR: This item cannot be higher than the subtotal Transformation",""))</f>
      </c>
      <c r="H154" s="180"/>
      <c r="J154" s="195" t="s">
        <v>682</v>
      </c>
      <c r="K154" s="159" t="s">
        <v>246</v>
      </c>
    </row>
    <row r="155" spans="2:11" ht="12.75" customHeight="1">
      <c r="B155" s="197"/>
      <c r="C155" s="163" t="s">
        <v>655</v>
      </c>
      <c r="D155" s="188">
        <f>IF(C155="Inland consumpion (Observed)",SUM(D156,D158,D159,D160),_xlfn.IFERROR(VLOOKUP(CONCATENATE('Table 1'!$K155,".",'Table 1'!$J155),Data!$A$3:$C$330,2,FALSE),0))</f>
        <v>0</v>
      </c>
      <c r="E155" s="193"/>
      <c r="F155" s="176">
        <f t="shared" si="6"/>
      </c>
      <c r="G155" s="186">
        <f>IF(E155&lt;0,"ERROR! Do not enter negative numbers","")</f>
      </c>
      <c r="H155" s="180"/>
      <c r="J155" s="159" t="s">
        <v>667</v>
      </c>
      <c r="K155" s="159" t="s">
        <v>246</v>
      </c>
    </row>
    <row r="156" spans="2:11" ht="12.75" customHeight="1">
      <c r="B156" s="197"/>
      <c r="C156" s="163" t="s">
        <v>656</v>
      </c>
      <c r="D156" s="188">
        <f>IF(C156="Inland consumpion (Observed)",SUM(D157,D159,D160,D161),_xlfn.IFERROR(VLOOKUP(CONCATENATE('Table 1'!$K156,".",'Table 1'!$J156),Data!$A$3:$C$330,2,FALSE),0))</f>
        <v>0</v>
      </c>
      <c r="E156" s="193"/>
      <c r="F156" s="176">
        <f t="shared" si="6"/>
      </c>
      <c r="G156" s="186">
        <f>IF(E156&lt;0,"ERROR! Do not enter negative numbers","")</f>
      </c>
      <c r="H156" s="180"/>
      <c r="J156" s="159" t="s">
        <v>668</v>
      </c>
      <c r="K156" s="159" t="s">
        <v>246</v>
      </c>
    </row>
    <row r="157" spans="2:11" ht="12.75" customHeight="1">
      <c r="B157" s="197"/>
      <c r="C157" s="163" t="s">
        <v>657</v>
      </c>
      <c r="D157" s="188">
        <f>IF(C157="Inland consumpion (Observed)",SUM(D158,D160,D161,D162),_xlfn.IFERROR(VLOOKUP(CONCATENATE('Table 1'!$K157,".",'Table 1'!$J157),Data!$A$3:$C$330,2,FALSE),0))</f>
        <v>0</v>
      </c>
      <c r="E157" s="191">
        <f>SUM(E158:E159)</f>
        <v>0</v>
      </c>
      <c r="F157" s="176">
        <f t="shared" si="6"/>
      </c>
      <c r="G157" s="186">
        <f>IF(E157&lt;0,"ERROR! Do not enter negative numbers",IF(E157&lt;&gt;SUM(E158:E159),"ERROR: TFC does not equal Total Final Non-Energy Consumption + Total Final Energy Consumption",""))</f>
      </c>
      <c r="H157" s="180"/>
      <c r="J157" s="159" t="s">
        <v>669</v>
      </c>
      <c r="K157" s="159" t="s">
        <v>246</v>
      </c>
    </row>
    <row r="158" spans="2:11" ht="12.75" customHeight="1">
      <c r="B158" s="197"/>
      <c r="C158" s="164" t="s">
        <v>658</v>
      </c>
      <c r="D158" s="188">
        <f>IF(C158="Inland consumpion (Observed)",SUM(D159,D161,D162,D163),_xlfn.IFERROR(VLOOKUP(CONCATENATE('Table 1'!$K158,".",'Table 1'!$J158),Data!$A$3:$C$330,2,FALSE),0))</f>
        <v>0</v>
      </c>
      <c r="E158" s="193"/>
      <c r="F158" s="176">
        <f t="shared" si="6"/>
      </c>
      <c r="G158" s="186">
        <f>IF(E158&lt;0,"ERROR! Do not enter negative numbers","")</f>
      </c>
      <c r="H158" s="180"/>
      <c r="J158" s="159" t="s">
        <v>670</v>
      </c>
      <c r="K158" s="159" t="s">
        <v>246</v>
      </c>
    </row>
    <row r="159" spans="2:11" ht="12.75" customHeight="1">
      <c r="B159" s="197"/>
      <c r="C159" s="164" t="s">
        <v>659</v>
      </c>
      <c r="D159" s="188">
        <f>IF(C159="Inland consumpion (Observed)",SUM(D160,D162,D163,D164),_xlfn.IFERROR(VLOOKUP(CONCATENATE('Table 1'!$K159,".",'Table 1'!$J159),Data!$A$3:$C$330,2,FALSE),0))</f>
        <v>0</v>
      </c>
      <c r="E159" s="191">
        <f>SUM(E160:E162)</f>
        <v>0</v>
      </c>
      <c r="F159" s="176">
        <f t="shared" si="6"/>
      </c>
      <c r="G159" s="186">
        <f>IF(E159&lt;0,"ERROR! Do not enter negative numbers",IF(E159&lt;&gt;SUM(E160:E162),"ERROR: Total Final Energy Consumption does not equal Industry + Transport + Other sectors",""))</f>
      </c>
      <c r="H159" s="180"/>
      <c r="J159" s="159" t="s">
        <v>671</v>
      </c>
      <c r="K159" s="159" t="s">
        <v>246</v>
      </c>
    </row>
    <row r="160" spans="2:11" ht="12.75" customHeight="1">
      <c r="B160" s="197"/>
      <c r="C160" s="165" t="s">
        <v>660</v>
      </c>
      <c r="D160" s="188">
        <f>IF(C160="Inland consumpion (Observed)",SUM(D161,D163,D164,D165),_xlfn.IFERROR(VLOOKUP(CONCATENATE('Table 1'!$K160,".",'Table 1'!$J160),Data!$A$3:$C$330,2,FALSE),0))</f>
        <v>0</v>
      </c>
      <c r="E160" s="193"/>
      <c r="F160" s="176">
        <f t="shared" si="6"/>
      </c>
      <c r="G160" s="186">
        <f>IF(E160&lt;0,"ERROR! Do not enter negative numbers","")</f>
      </c>
      <c r="H160" s="180"/>
      <c r="J160" s="159" t="s">
        <v>681</v>
      </c>
      <c r="K160" s="159" t="s">
        <v>246</v>
      </c>
    </row>
    <row r="161" spans="2:11" ht="12.75" customHeight="1">
      <c r="B161" s="197"/>
      <c r="C161" s="165" t="s">
        <v>661</v>
      </c>
      <c r="D161" s="188">
        <f>IF(C161="Inland consumpion (Observed)",SUM(D162,D164,D165,D166),_xlfn.IFERROR(VLOOKUP(CONCATENATE('Table 1'!$K161,".",'Table 1'!$J161),Data!$A$3:$C$330,2,FALSE),0))</f>
        <v>0</v>
      </c>
      <c r="E161" s="193"/>
      <c r="F161" s="176">
        <f t="shared" si="6"/>
      </c>
      <c r="G161" s="186">
        <f>IF(E161&lt;0,"ERROR! Do not enter negative numbers","")</f>
      </c>
      <c r="H161" s="180"/>
      <c r="J161" s="159" t="s">
        <v>672</v>
      </c>
      <c r="K161" s="159" t="s">
        <v>246</v>
      </c>
    </row>
    <row r="162" spans="2:11" ht="12.75" customHeight="1">
      <c r="B162" s="197"/>
      <c r="C162" s="165" t="s">
        <v>662</v>
      </c>
      <c r="D162" s="188">
        <f>IF(C162="Inland consumpion (Observed)",SUM(D163,D165,D166,D167),_xlfn.IFERROR(VLOOKUP(CONCATENATE('Table 1'!$K162,".",'Table 1'!$J162),Data!$A$3:$C$330,2,FALSE),0))</f>
        <v>0</v>
      </c>
      <c r="E162" s="193"/>
      <c r="F162" s="176">
        <f t="shared" si="6"/>
      </c>
      <c r="G162" s="186">
        <f>IF(E162&lt;0,"ERROR! Do not enter negative numbers",IF(E162&lt;SUM(E163:E164),"ERROR: The subtotal Other Sectors cannot be less than the sum of Residential + Commercial &amp;  Public services",""))</f>
      </c>
      <c r="H162" s="180"/>
      <c r="J162" s="159" t="s">
        <v>673</v>
      </c>
      <c r="K162" s="159" t="s">
        <v>246</v>
      </c>
    </row>
    <row r="163" spans="2:11" ht="12.75" customHeight="1">
      <c r="B163" s="197"/>
      <c r="C163" s="166" t="s">
        <v>663</v>
      </c>
      <c r="D163" s="188">
        <f>IF(C163="Inland consumpion (Observed)",SUM(D164,D166,D167,D168),_xlfn.IFERROR(VLOOKUP(CONCATENATE('Table 1'!$K163,".",'Table 1'!$J163),Data!$A$3:$C$330,2,FALSE),0))</f>
        <v>0</v>
      </c>
      <c r="E163" s="193"/>
      <c r="F163" s="176">
        <f t="shared" si="6"/>
      </c>
      <c r="G163" s="186">
        <f>IF(E163&lt;0,"ERROR! Do not enter negative numbers","")</f>
      </c>
      <c r="H163" s="180"/>
      <c r="J163" s="159" t="s">
        <v>674</v>
      </c>
      <c r="K163" s="159" t="s">
        <v>246</v>
      </c>
    </row>
    <row r="164" spans="2:11" ht="12.75" customHeight="1" thickBot="1">
      <c r="B164" s="198"/>
      <c r="C164" s="167" t="s">
        <v>664</v>
      </c>
      <c r="D164" s="190">
        <f>IF(C164="Inland consumpion (Observed)",SUM(D165,D167,D168,D169),_xlfn.IFERROR(VLOOKUP(CONCATENATE('Table 1'!$K164,".",'Table 1'!$J164),Data!$A$3:$C$330,2,FALSE),0))</f>
        <v>0</v>
      </c>
      <c r="E164" s="194"/>
      <c r="F164" s="177">
        <f t="shared" si="6"/>
      </c>
      <c r="G164" s="187">
        <f>IF(E164&lt;0,"ERROR! Do not enter negative numbers","")</f>
      </c>
      <c r="H164" s="181"/>
      <c r="J164" s="160" t="s">
        <v>684</v>
      </c>
      <c r="K164" s="160" t="s">
        <v>246</v>
      </c>
    </row>
    <row r="165" spans="2:11" ht="12.75" customHeight="1">
      <c r="B165" s="196" t="s">
        <v>358</v>
      </c>
      <c r="C165" s="74" t="str">
        <f aca="true" t="shared" si="8" ref="C165:C170">C145</f>
        <v>Indigenous production</v>
      </c>
      <c r="D165" s="169">
        <f>IF(C165="Inland consumpion (Observed)",SUM(D166,D168,D169,D170),_xlfn.IFERROR(VLOOKUP(CONCATENATE('Table 1'!$K165,".",'Table 1'!$J165),Data!$A$3:$C$330,2,FALSE),0))</f>
        <v>0</v>
      </c>
      <c r="E165" s="170"/>
      <c r="F165" s="168">
        <f t="shared" si="6"/>
      </c>
      <c r="G165" s="184">
        <f>IF(E165&lt;0,"ERROR! Do not enter negative numbers","")</f>
      </c>
      <c r="H165" s="178"/>
      <c r="J165" t="s">
        <v>239</v>
      </c>
      <c r="K165" t="s">
        <v>152</v>
      </c>
    </row>
    <row r="166" spans="2:11" ht="12.75" customHeight="1">
      <c r="B166" s="197"/>
      <c r="C166" s="74" t="str">
        <f t="shared" si="8"/>
        <v>From other sources</v>
      </c>
      <c r="D166" s="169">
        <f>IF(C166="Inland consumpion (Observed)",SUM(D167,D169,D170,D171),_xlfn.IFERROR(VLOOKUP(CONCATENATE('Table 1'!$K166,".",'Table 1'!$J166),Data!$A$3:$C$330,2,FALSE),0))</f>
        <v>0</v>
      </c>
      <c r="E166" s="170"/>
      <c r="F166" s="168">
        <f t="shared" si="6"/>
      </c>
      <c r="G166" s="184">
        <f>IF(E166&lt;0,"ERROR! Do not enter negative numbers","")</f>
      </c>
      <c r="H166" s="178"/>
      <c r="J166" t="s">
        <v>240</v>
      </c>
      <c r="K166" t="s">
        <v>152</v>
      </c>
    </row>
    <row r="167" spans="2:11" ht="12.75" customHeight="1">
      <c r="B167" s="197"/>
      <c r="C167" s="74" t="str">
        <f t="shared" si="8"/>
        <v>Total imports (Balance)</v>
      </c>
      <c r="D167" s="169">
        <f>IF(C167="Inland consumpion (Observed)",SUM(D168,D170,D171,D172),_xlfn.IFERROR(VLOOKUP(CONCATENATE('Table 1'!$K167,".",'Table 1'!$J167),Data!$A$3:$C$330,2,FALSE),0))</f>
        <v>0</v>
      </c>
      <c r="E167" s="170"/>
      <c r="F167" s="168">
        <f t="shared" si="6"/>
      </c>
      <c r="G167" s="184">
        <f>IF(ABS(E167-Imports!L$170)&gt;2,"ERROR: Import Total &lt;&gt; country sum ± 2","")</f>
      </c>
      <c r="H167" s="178"/>
      <c r="J167" t="s">
        <v>241</v>
      </c>
      <c r="K167" t="s">
        <v>152</v>
      </c>
    </row>
    <row r="168" spans="2:11" ht="12.75" customHeight="1">
      <c r="B168" s="197"/>
      <c r="C168" s="74" t="str">
        <f t="shared" si="8"/>
        <v>Total exports (Balance)</v>
      </c>
      <c r="D168" s="169">
        <f>IF(C168="Inland consumpion (Observed)",SUM(D169,D171,D172,D173),_xlfn.IFERROR(VLOOKUP(CONCATENATE('Table 1'!$K168,".",'Table 1'!$J168),Data!$A$3:$C$330,2,FALSE),0))</f>
        <v>0</v>
      </c>
      <c r="E168" s="170"/>
      <c r="F168" s="168">
        <f t="shared" si="6"/>
      </c>
      <c r="G168" s="184">
        <f>IF(E168-Exports!L$170&lt;&gt;0,"ERROR: Export Total &lt;&gt; country sum ± 2","")</f>
      </c>
      <c r="H168" s="178"/>
      <c r="J168" t="s">
        <v>242</v>
      </c>
      <c r="K168" t="s">
        <v>152</v>
      </c>
    </row>
    <row r="169" spans="2:11" ht="12.75" customHeight="1">
      <c r="B169" s="197"/>
      <c r="C169" s="74" t="str">
        <f t="shared" si="8"/>
        <v>Stock changes (National territory)</v>
      </c>
      <c r="D169" s="169">
        <f>IF(C169="Inland consumpion (Observed)",SUM(D170,D172,D173,D174),_xlfn.IFERROR(VLOOKUP(CONCATENATE('Table 1'!$K169,".",'Table 1'!$J169),Data!$A$3:$C$330,2,FALSE),0))</f>
        <v>0</v>
      </c>
      <c r="E169" s="170"/>
      <c r="F169" s="168">
        <f t="shared" si="6"/>
      </c>
      <c r="G169" s="184"/>
      <c r="H169" s="178"/>
      <c r="J169" t="s">
        <v>243</v>
      </c>
      <c r="K169" t="s">
        <v>152</v>
      </c>
    </row>
    <row r="170" spans="2:11" ht="12.75" customHeight="1">
      <c r="B170" s="197"/>
      <c r="C170" s="172" t="str">
        <f t="shared" si="8"/>
        <v>Inland consumption (calculated)</v>
      </c>
      <c r="D170" s="173">
        <f>IF(C170="Inland consumpion (Observed)",SUM(D171,D173,D174,D175),_xlfn.IFERROR(VLOOKUP(CONCATENATE('Table 1'!$K170,".",'Table 1'!$J170),Data!$A$3:$C$330,2,FALSE),0))</f>
        <v>0</v>
      </c>
      <c r="E170" s="174">
        <f>E165+E166+E167-E168+E169</f>
        <v>0</v>
      </c>
      <c r="F170" s="175">
        <f t="shared" si="6"/>
      </c>
      <c r="G170" s="185">
        <f>IF(E170=E165+E166+E167-E168+E169,IF(E170&lt;0,"WARNING! Negative consumption!",""),"ERROR! Please recalculate.")</f>
      </c>
      <c r="H170" s="179"/>
      <c r="J170" t="s">
        <v>244</v>
      </c>
      <c r="K170" t="s">
        <v>152</v>
      </c>
    </row>
    <row r="171" spans="2:11" ht="12.75" customHeight="1">
      <c r="B171" s="197"/>
      <c r="C171" s="171" t="s">
        <v>652</v>
      </c>
      <c r="D171" s="188">
        <f>IF(C171="Inland consumpion (Observed)",SUM(D172,D174,D175,D176),_xlfn.IFERROR(VLOOKUP(CONCATENATE('Table 1'!$K171,".",'Table 1'!$J171),Data!$A$3:$C$330,2,FALSE),0))</f>
        <v>0</v>
      </c>
      <c r="E171" s="191">
        <f>E170-E172</f>
        <v>0</v>
      </c>
      <c r="F171" s="176">
        <f t="shared" si="6"/>
      </c>
      <c r="G171" s="186">
        <f>IF(E171&lt;&gt;(E170-E172),"ERROR! STATDIFF does not equal Inland Consumption (Calculated) - Inland Consumption (Observed)","")</f>
      </c>
      <c r="H171" s="180"/>
      <c r="J171" s="158" t="s">
        <v>665</v>
      </c>
      <c r="K171" s="158" t="s">
        <v>152</v>
      </c>
    </row>
    <row r="172" spans="2:11" ht="12.75" customHeight="1">
      <c r="B172" s="197"/>
      <c r="C172" s="162" t="s">
        <v>653</v>
      </c>
      <c r="D172" s="189">
        <f>IF(C172="Inland consumpion (Observed)",SUM(D173,D175,D176,D177),_xlfn.IFERROR(VLOOKUP(CONCATENATE('Table 1'!$K172,".",'Table 1'!$J172),Data!$A$3:$C$330,2,FALSE),0))</f>
        <v>0</v>
      </c>
      <c r="E172" s="192">
        <f>SUM(E173,E175,E176,E177)</f>
        <v>0</v>
      </c>
      <c r="F172" s="176">
        <f t="shared" si="6"/>
      </c>
      <c r="G172" s="186">
        <f>IF(E172&lt;0,"ERROR! Do not enter negative numbers",IF(E172&lt;&gt;SUM(E173,E175,E176,E177),"ERROR: Inland consumption (observed) does not equal Transformation + Energy sector + Distribution losses + TFC",""))</f>
      </c>
      <c r="H172" s="180"/>
      <c r="J172" s="161"/>
      <c r="K172" s="161" t="s">
        <v>152</v>
      </c>
    </row>
    <row r="173" spans="2:11" ht="12.75" customHeight="1">
      <c r="B173" s="197"/>
      <c r="C173" s="163" t="s">
        <v>654</v>
      </c>
      <c r="D173" s="188">
        <f>IF(C173="Inland consumpion (Observed)",SUM(D174,D176,D177,D178),_xlfn.IFERROR(VLOOKUP(CONCATENATE('Table 1'!$K173,".",'Table 1'!$J173),Data!$A$3:$C$330,2,FALSE),0))</f>
        <v>0</v>
      </c>
      <c r="E173" s="193"/>
      <c r="F173" s="176">
        <f t="shared" si="6"/>
      </c>
      <c r="G173" s="186">
        <f>IF(E173&lt;0,"ERROR! Do not enter negative numbers",IF(E173&lt;E174,"ERROR: The subtotal Transformation cannot be less than of which: input to electricity and heat generation",""))</f>
      </c>
      <c r="H173" s="180"/>
      <c r="J173" s="159" t="s">
        <v>666</v>
      </c>
      <c r="K173" s="159" t="s">
        <v>152</v>
      </c>
    </row>
    <row r="174" spans="2:11" ht="12.75" customHeight="1">
      <c r="B174" s="197"/>
      <c r="C174" s="165" t="s">
        <v>683</v>
      </c>
      <c r="D174" s="188">
        <f>IF(C174="Inland consumpion (Observed)",SUM(D175,D177,D178,D179),_xlfn.IFERROR(VLOOKUP(CONCATENATE('Table 1'!$K174,".",'Table 1'!$J174),Data!$A$3:$C$330,2,FALSE),0))</f>
        <v>0</v>
      </c>
      <c r="E174" s="193"/>
      <c r="F174" s="176">
        <f t="shared" si="6"/>
      </c>
      <c r="G174" s="186">
        <f>IF(E174&lt;0,"ERROR! Do not enter negative numbers",IF(E174&gt;E173,"ERROR: This item cannot be higher than the subtotal Transformation",""))</f>
      </c>
      <c r="H174" s="180"/>
      <c r="J174" s="195" t="s">
        <v>682</v>
      </c>
      <c r="K174" s="159" t="s">
        <v>152</v>
      </c>
    </row>
    <row r="175" spans="2:11" ht="12.75" customHeight="1">
      <c r="B175" s="197"/>
      <c r="C175" s="163" t="s">
        <v>655</v>
      </c>
      <c r="D175" s="188">
        <f>IF(C175="Inland consumpion (Observed)",SUM(D176,D178,D179,D180),_xlfn.IFERROR(VLOOKUP(CONCATENATE('Table 1'!$K175,".",'Table 1'!$J175),Data!$A$3:$C$330,2,FALSE),0))</f>
        <v>0</v>
      </c>
      <c r="E175" s="193"/>
      <c r="F175" s="176">
        <f t="shared" si="6"/>
      </c>
      <c r="G175" s="186">
        <f>IF(E175&lt;0,"ERROR! Do not enter negative numbers","")</f>
      </c>
      <c r="H175" s="180"/>
      <c r="J175" s="159" t="s">
        <v>667</v>
      </c>
      <c r="K175" s="159" t="s">
        <v>152</v>
      </c>
    </row>
    <row r="176" spans="2:11" ht="12.75" customHeight="1">
      <c r="B176" s="197"/>
      <c r="C176" s="163" t="s">
        <v>656</v>
      </c>
      <c r="D176" s="188">
        <f>IF(C176="Inland consumpion (Observed)",SUM(D177,D179,D180,D181),_xlfn.IFERROR(VLOOKUP(CONCATENATE('Table 1'!$K176,".",'Table 1'!$J176),Data!$A$3:$C$330,2,FALSE),0))</f>
        <v>0</v>
      </c>
      <c r="E176" s="193"/>
      <c r="F176" s="176">
        <f t="shared" si="6"/>
      </c>
      <c r="G176" s="186">
        <f>IF(E176&lt;0,"ERROR! Do not enter negative numbers","")</f>
      </c>
      <c r="H176" s="180"/>
      <c r="J176" s="159" t="s">
        <v>668</v>
      </c>
      <c r="K176" s="159" t="s">
        <v>152</v>
      </c>
    </row>
    <row r="177" spans="2:11" ht="12.75" customHeight="1">
      <c r="B177" s="197"/>
      <c r="C177" s="163" t="s">
        <v>657</v>
      </c>
      <c r="D177" s="188">
        <f>IF(C177="Inland consumpion (Observed)",SUM(D178,D180,D181,D182),_xlfn.IFERROR(VLOOKUP(CONCATENATE('Table 1'!$K177,".",'Table 1'!$J177),Data!$A$3:$C$330,2,FALSE),0))</f>
        <v>0</v>
      </c>
      <c r="E177" s="191">
        <f>SUM(E178:E179)</f>
        <v>0</v>
      </c>
      <c r="F177" s="176">
        <f t="shared" si="6"/>
      </c>
      <c r="G177" s="186">
        <f>IF(E177&lt;0,"ERROR! Do not enter negative numbers",IF(E177&lt;&gt;SUM(E178:E179),"ERROR: TFC does not equal Total Final Non-Energy Consumption + Total Final Energy Consumption",""))</f>
      </c>
      <c r="H177" s="180"/>
      <c r="J177" s="159" t="s">
        <v>669</v>
      </c>
      <c r="K177" s="159" t="s">
        <v>152</v>
      </c>
    </row>
    <row r="178" spans="2:11" ht="12.75" customHeight="1">
      <c r="B178" s="197"/>
      <c r="C178" s="164" t="s">
        <v>658</v>
      </c>
      <c r="D178" s="188">
        <f>IF(C178="Inland consumpion (Observed)",SUM(D179,D181,D182,D183),_xlfn.IFERROR(VLOOKUP(CONCATENATE('Table 1'!$K178,".",'Table 1'!$J178),Data!$A$3:$C$330,2,FALSE),0))</f>
        <v>0</v>
      </c>
      <c r="E178" s="193"/>
      <c r="F178" s="176">
        <f t="shared" si="6"/>
      </c>
      <c r="G178" s="186">
        <f>IF(E178&lt;0,"ERROR! Do not enter negative numbers","")</f>
      </c>
      <c r="H178" s="180"/>
      <c r="J178" s="159" t="s">
        <v>670</v>
      </c>
      <c r="K178" s="159" t="s">
        <v>152</v>
      </c>
    </row>
    <row r="179" spans="2:11" ht="12.75" customHeight="1">
      <c r="B179" s="197"/>
      <c r="C179" s="164" t="s">
        <v>659</v>
      </c>
      <c r="D179" s="188">
        <f>IF(C179="Inland consumpion (Observed)",SUM(D180,D182,D183,D184),_xlfn.IFERROR(VLOOKUP(CONCATENATE('Table 1'!$K179,".",'Table 1'!$J179),Data!$A$3:$C$330,2,FALSE),0))</f>
        <v>0</v>
      </c>
      <c r="E179" s="191">
        <f>SUM(E180:E182)</f>
        <v>0</v>
      </c>
      <c r="F179" s="176">
        <f t="shared" si="6"/>
      </c>
      <c r="G179" s="186">
        <f>IF(E179&lt;0,"ERROR! Do not enter negative numbers",IF(E179&lt;&gt;SUM(E180:E182),"ERROR: Total Final Energy Consumption does not equal Industry + Transport + Other sectors",""))</f>
      </c>
      <c r="H179" s="180"/>
      <c r="J179" s="159" t="s">
        <v>671</v>
      </c>
      <c r="K179" s="159" t="s">
        <v>152</v>
      </c>
    </row>
    <row r="180" spans="2:11" ht="12.75" customHeight="1">
      <c r="B180" s="197"/>
      <c r="C180" s="165" t="s">
        <v>660</v>
      </c>
      <c r="D180" s="188">
        <f>IF(C180="Inland consumpion (Observed)",SUM(D181,D183,D184,D185),_xlfn.IFERROR(VLOOKUP(CONCATENATE('Table 1'!$K180,".",'Table 1'!$J180),Data!$A$3:$C$330,2,FALSE),0))</f>
        <v>0</v>
      </c>
      <c r="E180" s="193"/>
      <c r="F180" s="176">
        <f t="shared" si="6"/>
      </c>
      <c r="G180" s="186">
        <f>IF(E180&lt;0,"ERROR! Do not enter negative numbers","")</f>
      </c>
      <c r="H180" s="180"/>
      <c r="J180" s="159" t="s">
        <v>681</v>
      </c>
      <c r="K180" s="159" t="s">
        <v>152</v>
      </c>
    </row>
    <row r="181" spans="2:11" ht="12.75" customHeight="1">
      <c r="B181" s="197"/>
      <c r="C181" s="165" t="s">
        <v>661</v>
      </c>
      <c r="D181" s="188">
        <f>IF(C181="Inland consumpion (Observed)",SUM(D182,D184,D185,D186),_xlfn.IFERROR(VLOOKUP(CONCATENATE('Table 1'!$K181,".",'Table 1'!$J181),Data!$A$3:$C$330,2,FALSE),0))</f>
        <v>0</v>
      </c>
      <c r="E181" s="193"/>
      <c r="F181" s="176">
        <f t="shared" si="6"/>
      </c>
      <c r="G181" s="186">
        <f>IF(E181&lt;0,"ERROR! Do not enter negative numbers","")</f>
      </c>
      <c r="H181" s="180"/>
      <c r="J181" s="159" t="s">
        <v>672</v>
      </c>
      <c r="K181" s="159" t="s">
        <v>152</v>
      </c>
    </row>
    <row r="182" spans="2:11" ht="12.75" customHeight="1">
      <c r="B182" s="197"/>
      <c r="C182" s="165" t="s">
        <v>662</v>
      </c>
      <c r="D182" s="188">
        <f>IF(C182="Inland consumpion (Observed)",SUM(D183,D185,D186,D187),_xlfn.IFERROR(VLOOKUP(CONCATENATE('Table 1'!$K182,".",'Table 1'!$J182),Data!$A$3:$C$330,2,FALSE),0))</f>
        <v>0</v>
      </c>
      <c r="E182" s="193"/>
      <c r="F182" s="176">
        <f t="shared" si="6"/>
      </c>
      <c r="G182" s="186">
        <f>IF(E182&lt;0,"ERROR! Do not enter negative numbers",IF(E182&lt;SUM(E183:E184),"ERROR: The subtotal Other Sectors cannot be less than the sum of Residential + Commercial &amp;  Public services",""))</f>
      </c>
      <c r="H182" s="180"/>
      <c r="J182" s="159" t="s">
        <v>673</v>
      </c>
      <c r="K182" s="159" t="s">
        <v>152</v>
      </c>
    </row>
    <row r="183" spans="2:11" ht="12.75" customHeight="1">
      <c r="B183" s="197"/>
      <c r="C183" s="166" t="s">
        <v>663</v>
      </c>
      <c r="D183" s="188">
        <f>IF(C183="Inland consumpion (Observed)",SUM(D184,D186,D187,D188),_xlfn.IFERROR(VLOOKUP(CONCATENATE('Table 1'!$K183,".",'Table 1'!$J183),Data!$A$3:$C$330,2,FALSE),0))</f>
        <v>0</v>
      </c>
      <c r="E183" s="193"/>
      <c r="F183" s="176">
        <f t="shared" si="6"/>
      </c>
      <c r="G183" s="186">
        <f>IF(E183&lt;0,"ERROR! Do not enter negative numbers","")</f>
      </c>
      <c r="H183" s="180"/>
      <c r="J183" s="159" t="s">
        <v>674</v>
      </c>
      <c r="K183" s="159" t="s">
        <v>152</v>
      </c>
    </row>
    <row r="184" spans="2:11" ht="12.75" customHeight="1" thickBot="1">
      <c r="B184" s="198"/>
      <c r="C184" s="167" t="s">
        <v>664</v>
      </c>
      <c r="D184" s="190">
        <f>IF(C184="Inland consumpion (Observed)",SUM(D185,D187,D188,D189),_xlfn.IFERROR(VLOOKUP(CONCATENATE('Table 1'!$K184,".",'Table 1'!$J184),Data!$A$3:$C$330,2,FALSE),0))</f>
        <v>0</v>
      </c>
      <c r="E184" s="194"/>
      <c r="F184" s="177">
        <f t="shared" si="6"/>
      </c>
      <c r="G184" s="187">
        <f>IF(E184&lt;0,"ERROR! Do not enter negative numbers","")</f>
      </c>
      <c r="H184" s="181"/>
      <c r="J184" s="160" t="s">
        <v>684</v>
      </c>
      <c r="K184" s="160" t="s">
        <v>152</v>
      </c>
    </row>
    <row r="185" spans="2:11" ht="12.75" customHeight="1">
      <c r="B185" s="196" t="s">
        <v>388</v>
      </c>
      <c r="C185" s="74" t="str">
        <f aca="true" t="shared" si="9" ref="C185:C190">C165</f>
        <v>Indigenous production</v>
      </c>
      <c r="D185" s="169">
        <f>IF(C185="Inland consumpion (Observed)",SUM(D186,D188,D189,D190),_xlfn.IFERROR(VLOOKUP(CONCATENATE('Table 1'!$K185,".",'Table 1'!$J185),Data!$A$3:$C$330,2,FALSE),0))</f>
        <v>0</v>
      </c>
      <c r="E185" s="170"/>
      <c r="F185" s="168">
        <f t="shared" si="6"/>
      </c>
      <c r="G185" s="184">
        <f>IF(E185&lt;0,"ERROR! Do not enter negative numbers","")</f>
      </c>
      <c r="H185" s="178"/>
      <c r="J185" t="s">
        <v>239</v>
      </c>
      <c r="K185" t="s">
        <v>153</v>
      </c>
    </row>
    <row r="186" spans="2:11" ht="12.75" customHeight="1">
      <c r="B186" s="197"/>
      <c r="C186" s="74" t="str">
        <f t="shared" si="9"/>
        <v>From other sources</v>
      </c>
      <c r="D186" s="169">
        <f>IF(C186="Inland consumpion (Observed)",SUM(D187,D189,D190,D191),_xlfn.IFERROR(VLOOKUP(CONCATENATE('Table 1'!$K186,".",'Table 1'!$J186),Data!$A$3:$C$330,2,FALSE),0))</f>
        <v>0</v>
      </c>
      <c r="E186" s="170"/>
      <c r="F186" s="168">
        <f t="shared" si="6"/>
      </c>
      <c r="G186" s="184">
        <f>IF(E186&lt;0,"ERROR! Do not enter negative numbers","")</f>
      </c>
      <c r="H186" s="178"/>
      <c r="J186" t="s">
        <v>240</v>
      </c>
      <c r="K186" t="s">
        <v>153</v>
      </c>
    </row>
    <row r="187" spans="2:11" ht="12.75" customHeight="1">
      <c r="B187" s="197"/>
      <c r="C187" s="74" t="str">
        <f t="shared" si="9"/>
        <v>Total imports (Balance)</v>
      </c>
      <c r="D187" s="169">
        <f>IF(C187="Inland consumpion (Observed)",SUM(D188,D190,D191,D192),_xlfn.IFERROR(VLOOKUP(CONCATENATE('Table 1'!$K187,".",'Table 1'!$J187),Data!$A$3:$C$330,2,FALSE),0))</f>
        <v>0</v>
      </c>
      <c r="E187" s="170"/>
      <c r="F187" s="168">
        <f t="shared" si="6"/>
      </c>
      <c r="G187" s="184">
        <f>IF(ABS(E187-Imports!M$170)&gt;2,"ERROR: Import Total &lt;&gt; country sum ± 2","")</f>
      </c>
      <c r="H187" s="178"/>
      <c r="J187" t="s">
        <v>241</v>
      </c>
      <c r="K187" t="s">
        <v>153</v>
      </c>
    </row>
    <row r="188" spans="2:11" ht="12.75" customHeight="1">
      <c r="B188" s="197"/>
      <c r="C188" s="74" t="str">
        <f t="shared" si="9"/>
        <v>Total exports (Balance)</v>
      </c>
      <c r="D188" s="169">
        <f>IF(C188="Inland consumpion (Observed)",SUM(D189,D191,D192,D193),_xlfn.IFERROR(VLOOKUP(CONCATENATE('Table 1'!$K188,".",'Table 1'!$J188),Data!$A$3:$C$330,2,FALSE),0))</f>
        <v>0</v>
      </c>
      <c r="E188" s="170"/>
      <c r="F188" s="168">
        <f t="shared" si="6"/>
      </c>
      <c r="G188" s="184">
        <f>IF(E188-Exports!M$170&lt;&gt;0,"ERROR: Export Total &lt;&gt; country sum ± 2","")</f>
      </c>
      <c r="H188" s="178"/>
      <c r="J188" t="s">
        <v>242</v>
      </c>
      <c r="K188" t="s">
        <v>153</v>
      </c>
    </row>
    <row r="189" spans="2:11" ht="12.75" customHeight="1">
      <c r="B189" s="197"/>
      <c r="C189" s="74" t="str">
        <f t="shared" si="9"/>
        <v>Stock changes (National territory)</v>
      </c>
      <c r="D189" s="169">
        <f>IF(C189="Inland consumpion (Observed)",SUM(D190,D192,D193,D194),_xlfn.IFERROR(VLOOKUP(CONCATENATE('Table 1'!$K189,".",'Table 1'!$J189),Data!$A$3:$C$330,2,FALSE),0))</f>
        <v>0</v>
      </c>
      <c r="E189" s="170"/>
      <c r="F189" s="168">
        <f t="shared" si="6"/>
      </c>
      <c r="G189" s="184"/>
      <c r="H189" s="178"/>
      <c r="J189" t="s">
        <v>243</v>
      </c>
      <c r="K189" t="s">
        <v>153</v>
      </c>
    </row>
    <row r="190" spans="2:11" ht="12.75" customHeight="1">
      <c r="B190" s="197"/>
      <c r="C190" s="172" t="str">
        <f t="shared" si="9"/>
        <v>Inland consumption (calculated)</v>
      </c>
      <c r="D190" s="173">
        <f>IF(C190="Inland consumpion (Observed)",SUM(D191,D193,D194,D195),_xlfn.IFERROR(VLOOKUP(CONCATENATE('Table 1'!$K190,".",'Table 1'!$J190),Data!$A$3:$C$330,2,FALSE),0))</f>
        <v>0</v>
      </c>
      <c r="E190" s="174">
        <f>E185+E186+E187-E188+E189</f>
        <v>0</v>
      </c>
      <c r="F190" s="175">
        <f aca="true" t="shared" si="10" ref="F190:F253">IF(D190=0,IF(E190&lt;&gt;0,"new value",""),IF(ISBLANK(E190),"",E190/D190-1))</f>
      </c>
      <c r="G190" s="185">
        <f>IF(E190=E185+E186+E187-E188+E189,IF(E190&lt;0,"WARNING! Negative consumption!",""),"ERROR! Please recalculate.")</f>
      </c>
      <c r="H190" s="179"/>
      <c r="J190" t="s">
        <v>244</v>
      </c>
      <c r="K190" t="s">
        <v>153</v>
      </c>
    </row>
    <row r="191" spans="2:11" ht="12.75" customHeight="1">
      <c r="B191" s="197"/>
      <c r="C191" s="171" t="s">
        <v>652</v>
      </c>
      <c r="D191" s="188">
        <f>IF(C191="Inland consumpion (Observed)",SUM(D192,D194,D195,D196),_xlfn.IFERROR(VLOOKUP(CONCATENATE('Table 1'!$K191,".",'Table 1'!$J191),Data!$A$3:$C$330,2,FALSE),0))</f>
        <v>0</v>
      </c>
      <c r="E191" s="191">
        <f>E190-E192</f>
        <v>0</v>
      </c>
      <c r="F191" s="176">
        <f t="shared" si="10"/>
      </c>
      <c r="G191" s="186">
        <f>IF(E191&lt;&gt;(E190-E192),"ERROR! STATDIFF does not equal Inland Consumption (Calculated) - Inland Consumption (Observed)","")</f>
      </c>
      <c r="H191" s="180"/>
      <c r="J191" s="158" t="s">
        <v>665</v>
      </c>
      <c r="K191" s="158" t="s">
        <v>153</v>
      </c>
    </row>
    <row r="192" spans="2:11" ht="12.75" customHeight="1">
      <c r="B192" s="197"/>
      <c r="C192" s="162" t="s">
        <v>653</v>
      </c>
      <c r="D192" s="189">
        <f>IF(C192="Inland consumpion (Observed)",SUM(D193,D195,D196,D197),_xlfn.IFERROR(VLOOKUP(CONCATENATE('Table 1'!$K192,".",'Table 1'!$J192),Data!$A$3:$C$330,2,FALSE),0))</f>
        <v>0</v>
      </c>
      <c r="E192" s="192">
        <f>SUM(E193,E195,E196,E197)</f>
        <v>0</v>
      </c>
      <c r="F192" s="176">
        <f t="shared" si="10"/>
      </c>
      <c r="G192" s="186">
        <f>IF(E192&lt;0,"ERROR! Do not enter negative numbers",IF(E192&lt;&gt;SUM(E193,E195,E196,E197),"ERROR: Inland consumption (observed) does not equal Transformation + Energy sector + Distribution losses + TFC",""))</f>
      </c>
      <c r="H192" s="180"/>
      <c r="J192" s="161"/>
      <c r="K192" s="161" t="s">
        <v>153</v>
      </c>
    </row>
    <row r="193" spans="2:11" ht="12.75" customHeight="1">
      <c r="B193" s="197"/>
      <c r="C193" s="163" t="s">
        <v>654</v>
      </c>
      <c r="D193" s="188">
        <f>IF(C193="Inland consumpion (Observed)",SUM(D194,D196,D197,D198),_xlfn.IFERROR(VLOOKUP(CONCATENATE('Table 1'!$K193,".",'Table 1'!$J193),Data!$A$3:$C$330,2,FALSE),0))</f>
        <v>0</v>
      </c>
      <c r="E193" s="193"/>
      <c r="F193" s="176">
        <f t="shared" si="10"/>
      </c>
      <c r="G193" s="186">
        <f>IF(E193&lt;0,"ERROR! Do not enter negative numbers",IF(E193&lt;E194,"ERROR: The subtotal Transformation cannot be less than of which: input to electricity and heat generation",""))</f>
      </c>
      <c r="H193" s="180"/>
      <c r="J193" s="159" t="s">
        <v>666</v>
      </c>
      <c r="K193" s="159" t="s">
        <v>153</v>
      </c>
    </row>
    <row r="194" spans="2:11" ht="12.75" customHeight="1">
      <c r="B194" s="197"/>
      <c r="C194" s="165" t="s">
        <v>683</v>
      </c>
      <c r="D194" s="188">
        <f>IF(C194="Inland consumpion (Observed)",SUM(D195,D197,D198,D199),_xlfn.IFERROR(VLOOKUP(CONCATENATE('Table 1'!$K194,".",'Table 1'!$J194),Data!$A$3:$C$330,2,FALSE),0))</f>
        <v>0</v>
      </c>
      <c r="E194" s="193"/>
      <c r="F194" s="176">
        <f t="shared" si="10"/>
      </c>
      <c r="G194" s="186">
        <f>IF(E194&lt;0,"ERROR! Do not enter negative numbers",IF(E194&gt;E193,"ERROR: This item cannot be higher than the subtotal Transformation",""))</f>
      </c>
      <c r="H194" s="180"/>
      <c r="J194" s="195" t="s">
        <v>682</v>
      </c>
      <c r="K194" s="159" t="s">
        <v>153</v>
      </c>
    </row>
    <row r="195" spans="2:11" ht="12.75" customHeight="1">
      <c r="B195" s="197"/>
      <c r="C195" s="163" t="s">
        <v>655</v>
      </c>
      <c r="D195" s="188">
        <f>IF(C195="Inland consumpion (Observed)",SUM(D196,D198,D199,D200),_xlfn.IFERROR(VLOOKUP(CONCATENATE('Table 1'!$K195,".",'Table 1'!$J195),Data!$A$3:$C$330,2,FALSE),0))</f>
        <v>0</v>
      </c>
      <c r="E195" s="193"/>
      <c r="F195" s="176">
        <f t="shared" si="10"/>
      </c>
      <c r="G195" s="186">
        <f>IF(E195&lt;0,"ERROR! Do not enter negative numbers","")</f>
      </c>
      <c r="H195" s="180"/>
      <c r="J195" s="159" t="s">
        <v>667</v>
      </c>
      <c r="K195" s="159" t="s">
        <v>153</v>
      </c>
    </row>
    <row r="196" spans="2:11" ht="12.75" customHeight="1">
      <c r="B196" s="197"/>
      <c r="C196" s="163" t="s">
        <v>656</v>
      </c>
      <c r="D196" s="188">
        <f>IF(C196="Inland consumpion (Observed)",SUM(D197,D199,D200,D201),_xlfn.IFERROR(VLOOKUP(CONCATENATE('Table 1'!$K196,".",'Table 1'!$J196),Data!$A$3:$C$330,2,FALSE),0))</f>
        <v>0</v>
      </c>
      <c r="E196" s="193"/>
      <c r="F196" s="176">
        <f t="shared" si="10"/>
      </c>
      <c r="G196" s="186">
        <f>IF(E196&lt;0,"ERROR! Do not enter negative numbers","")</f>
      </c>
      <c r="H196" s="180"/>
      <c r="J196" s="159" t="s">
        <v>668</v>
      </c>
      <c r="K196" s="159" t="s">
        <v>153</v>
      </c>
    </row>
    <row r="197" spans="2:11" ht="12.75" customHeight="1">
      <c r="B197" s="197"/>
      <c r="C197" s="163" t="s">
        <v>657</v>
      </c>
      <c r="D197" s="188">
        <f>IF(C197="Inland consumpion (Observed)",SUM(D198,D200,D201,D202),_xlfn.IFERROR(VLOOKUP(CONCATENATE('Table 1'!$K197,".",'Table 1'!$J197),Data!$A$3:$C$330,2,FALSE),0))</f>
        <v>0</v>
      </c>
      <c r="E197" s="191">
        <f>SUM(E198:E199)</f>
        <v>0</v>
      </c>
      <c r="F197" s="176">
        <f t="shared" si="10"/>
      </c>
      <c r="G197" s="186">
        <f>IF(E197&lt;0,"ERROR! Do not enter negative numbers",IF(E197&lt;&gt;SUM(E198:E199),"ERROR: TFC does not equal Total Final Non-Energy Consumption + Total Final Energy Consumption",""))</f>
      </c>
      <c r="H197" s="180"/>
      <c r="J197" s="159" t="s">
        <v>669</v>
      </c>
      <c r="K197" s="159" t="s">
        <v>153</v>
      </c>
    </row>
    <row r="198" spans="2:11" ht="12.75" customHeight="1">
      <c r="B198" s="197"/>
      <c r="C198" s="164" t="s">
        <v>658</v>
      </c>
      <c r="D198" s="188">
        <f>IF(C198="Inland consumpion (Observed)",SUM(D199,D201,D202,D203),_xlfn.IFERROR(VLOOKUP(CONCATENATE('Table 1'!$K198,".",'Table 1'!$J198),Data!$A$3:$C$330,2,FALSE),0))</f>
        <v>0</v>
      </c>
      <c r="E198" s="193"/>
      <c r="F198" s="176">
        <f t="shared" si="10"/>
      </c>
      <c r="G198" s="186">
        <f>IF(E198&lt;0,"ERROR! Do not enter negative numbers","")</f>
      </c>
      <c r="H198" s="180"/>
      <c r="J198" s="159" t="s">
        <v>670</v>
      </c>
      <c r="K198" s="159" t="s">
        <v>153</v>
      </c>
    </row>
    <row r="199" spans="2:11" ht="12.75" customHeight="1">
      <c r="B199" s="197"/>
      <c r="C199" s="164" t="s">
        <v>659</v>
      </c>
      <c r="D199" s="188">
        <f>IF(C199="Inland consumpion (Observed)",SUM(D200,D202,D203,D204),_xlfn.IFERROR(VLOOKUP(CONCATENATE('Table 1'!$K199,".",'Table 1'!$J199),Data!$A$3:$C$330,2,FALSE),0))</f>
        <v>0</v>
      </c>
      <c r="E199" s="191">
        <f>SUM(E200:E202)</f>
        <v>0</v>
      </c>
      <c r="F199" s="176">
        <f t="shared" si="10"/>
      </c>
      <c r="G199" s="186">
        <f>IF(E199&lt;0,"ERROR! Do not enter negative numbers",IF(E199&lt;&gt;SUM(E200:E202),"ERROR: Total Final Energy Consumption does not equal Industry + Transport + Other sectors",""))</f>
      </c>
      <c r="H199" s="180"/>
      <c r="J199" s="159" t="s">
        <v>671</v>
      </c>
      <c r="K199" s="159" t="s">
        <v>153</v>
      </c>
    </row>
    <row r="200" spans="2:11" ht="12.75" customHeight="1">
      <c r="B200" s="197"/>
      <c r="C200" s="165" t="s">
        <v>660</v>
      </c>
      <c r="D200" s="188">
        <f>IF(C200="Inland consumpion (Observed)",SUM(D201,D203,D204,D205),_xlfn.IFERROR(VLOOKUP(CONCATENATE('Table 1'!$K200,".",'Table 1'!$J200),Data!$A$3:$C$330,2,FALSE),0))</f>
        <v>0</v>
      </c>
      <c r="E200" s="193"/>
      <c r="F200" s="176">
        <f t="shared" si="10"/>
      </c>
      <c r="G200" s="186">
        <f>IF(E200&lt;0,"ERROR! Do not enter negative numbers","")</f>
      </c>
      <c r="H200" s="180"/>
      <c r="J200" s="159" t="s">
        <v>681</v>
      </c>
      <c r="K200" s="159" t="s">
        <v>153</v>
      </c>
    </row>
    <row r="201" spans="2:11" ht="12.75" customHeight="1">
      <c r="B201" s="197"/>
      <c r="C201" s="165" t="s">
        <v>661</v>
      </c>
      <c r="D201" s="188">
        <f>IF(C201="Inland consumpion (Observed)",SUM(D202,D204,D205,D206),_xlfn.IFERROR(VLOOKUP(CONCATENATE('Table 1'!$K201,".",'Table 1'!$J201),Data!$A$3:$C$330,2,FALSE),0))</f>
        <v>0</v>
      </c>
      <c r="E201" s="193"/>
      <c r="F201" s="176">
        <f t="shared" si="10"/>
      </c>
      <c r="G201" s="186">
        <f>IF(E201&lt;0,"ERROR! Do not enter negative numbers","")</f>
      </c>
      <c r="H201" s="180"/>
      <c r="J201" s="159" t="s">
        <v>672</v>
      </c>
      <c r="K201" s="159" t="s">
        <v>153</v>
      </c>
    </row>
    <row r="202" spans="2:11" ht="12.75" customHeight="1">
      <c r="B202" s="197"/>
      <c r="C202" s="165" t="s">
        <v>662</v>
      </c>
      <c r="D202" s="188">
        <f>IF(C202="Inland consumpion (Observed)",SUM(D203,D205,D206,D207),_xlfn.IFERROR(VLOOKUP(CONCATENATE('Table 1'!$K202,".",'Table 1'!$J202),Data!$A$3:$C$330,2,FALSE),0))</f>
        <v>0</v>
      </c>
      <c r="E202" s="193"/>
      <c r="F202" s="176">
        <f t="shared" si="10"/>
      </c>
      <c r="G202" s="186">
        <f>IF(E202&lt;0,"ERROR! Do not enter negative numbers",IF(E202&lt;SUM(E203:E204),"ERROR: The subtotal Other Sectors cannot be less than the sum of Residential + Commercial &amp;  Public services",""))</f>
      </c>
      <c r="H202" s="180"/>
      <c r="J202" s="159" t="s">
        <v>673</v>
      </c>
      <c r="K202" s="159" t="s">
        <v>153</v>
      </c>
    </row>
    <row r="203" spans="2:11" ht="12.75" customHeight="1">
      <c r="B203" s="197"/>
      <c r="C203" s="166" t="s">
        <v>663</v>
      </c>
      <c r="D203" s="188">
        <f>IF(C203="Inland consumpion (Observed)",SUM(D204,D206,D207,D208),_xlfn.IFERROR(VLOOKUP(CONCATENATE('Table 1'!$K203,".",'Table 1'!$J203),Data!$A$3:$C$330,2,FALSE),0))</f>
        <v>0</v>
      </c>
      <c r="E203" s="193"/>
      <c r="F203" s="176">
        <f t="shared" si="10"/>
      </c>
      <c r="G203" s="186">
        <f>IF(E203&lt;0,"ERROR! Do not enter negative numbers","")</f>
      </c>
      <c r="H203" s="180"/>
      <c r="J203" s="159" t="s">
        <v>674</v>
      </c>
      <c r="K203" s="159" t="s">
        <v>153</v>
      </c>
    </row>
    <row r="204" spans="2:11" ht="12.75" customHeight="1" thickBot="1">
      <c r="B204" s="198"/>
      <c r="C204" s="167" t="s">
        <v>664</v>
      </c>
      <c r="D204" s="190">
        <f>IF(C204="Inland consumpion (Observed)",SUM(D205,D207,D208,D209),_xlfn.IFERROR(VLOOKUP(CONCATENATE('Table 1'!$K204,".",'Table 1'!$J204),Data!$A$3:$C$330,2,FALSE),0))</f>
        <v>0</v>
      </c>
      <c r="E204" s="194"/>
      <c r="F204" s="177">
        <f t="shared" si="10"/>
      </c>
      <c r="G204" s="187">
        <f>IF(E204&lt;0,"ERROR! Do not enter negative numbers","")</f>
      </c>
      <c r="H204" s="181"/>
      <c r="J204" s="160" t="s">
        <v>684</v>
      </c>
      <c r="K204" s="160" t="s">
        <v>153</v>
      </c>
    </row>
    <row r="205" spans="2:11" ht="12.75" customHeight="1">
      <c r="B205" s="196" t="s">
        <v>359</v>
      </c>
      <c r="C205" s="74" t="str">
        <f aca="true" t="shared" si="11" ref="C205:C210">C185</f>
        <v>Indigenous production</v>
      </c>
      <c r="D205" s="169">
        <f>IF(C205="Inland consumpion (Observed)",SUM(D206,D208,D209,D210),_xlfn.IFERROR(VLOOKUP(CONCATENATE('Table 1'!$K205,".",'Table 1'!$J205),Data!$A$3:$C$330,2,FALSE),0))</f>
        <v>0</v>
      </c>
      <c r="E205" s="170"/>
      <c r="F205" s="168">
        <f t="shared" si="10"/>
      </c>
      <c r="G205" s="184">
        <f>IF(E205&lt;0,"ERROR! Do not enter negative numbers","")</f>
      </c>
      <c r="H205" s="178"/>
      <c r="J205" t="s">
        <v>239</v>
      </c>
      <c r="K205" t="s">
        <v>247</v>
      </c>
    </row>
    <row r="206" spans="2:11" ht="12.75" customHeight="1">
      <c r="B206" s="197"/>
      <c r="C206" s="74" t="str">
        <f t="shared" si="11"/>
        <v>From other sources</v>
      </c>
      <c r="D206" s="169">
        <f>IF(C206="Inland consumpion (Observed)",SUM(D207,D209,D210,D211),_xlfn.IFERROR(VLOOKUP(CONCATENATE('Table 1'!$K206,".",'Table 1'!$J206),Data!$A$3:$C$330,2,FALSE),0))</f>
        <v>0</v>
      </c>
      <c r="E206" s="170"/>
      <c r="F206" s="168">
        <f t="shared" si="10"/>
      </c>
      <c r="G206" s="184">
        <f>IF(E206&lt;0,"ERROR! Do not enter negative numbers","")</f>
      </c>
      <c r="H206" s="178"/>
      <c r="J206" t="s">
        <v>240</v>
      </c>
      <c r="K206" t="s">
        <v>247</v>
      </c>
    </row>
    <row r="207" spans="2:11" ht="12.75" customHeight="1">
      <c r="B207" s="197"/>
      <c r="C207" s="74" t="str">
        <f t="shared" si="11"/>
        <v>Total imports (Balance)</v>
      </c>
      <c r="D207" s="169">
        <f>IF(C207="Inland consumpion (Observed)",SUM(D208,D210,D211,D212),_xlfn.IFERROR(VLOOKUP(CONCATENATE('Table 1'!$K207,".",'Table 1'!$J207),Data!$A$3:$C$330,2,FALSE),0))</f>
        <v>0</v>
      </c>
      <c r="E207" s="170"/>
      <c r="F207" s="168">
        <f t="shared" si="10"/>
      </c>
      <c r="G207" s="184">
        <f>IF(E207&lt;0,"ERROR! Do not enter negative numbers","")</f>
      </c>
      <c r="H207" s="178"/>
      <c r="J207" t="s">
        <v>241</v>
      </c>
      <c r="K207" t="s">
        <v>247</v>
      </c>
    </row>
    <row r="208" spans="2:11" ht="12.75" customHeight="1">
      <c r="B208" s="197"/>
      <c r="C208" s="74" t="str">
        <f t="shared" si="11"/>
        <v>Total exports (Balance)</v>
      </c>
      <c r="D208" s="169">
        <f>IF(C208="Inland consumpion (Observed)",SUM(D209,D211,D212,D213),_xlfn.IFERROR(VLOOKUP(CONCATENATE('Table 1'!$K208,".",'Table 1'!$J208),Data!$A$3:$C$330,2,FALSE),0))</f>
        <v>0</v>
      </c>
      <c r="E208" s="170"/>
      <c r="F208" s="168">
        <f t="shared" si="10"/>
      </c>
      <c r="G208" s="184"/>
      <c r="H208" s="178"/>
      <c r="J208" t="s">
        <v>242</v>
      </c>
      <c r="K208" t="s">
        <v>247</v>
      </c>
    </row>
    <row r="209" spans="2:11" ht="12.75" customHeight="1">
      <c r="B209" s="197"/>
      <c r="C209" s="74" t="str">
        <f t="shared" si="11"/>
        <v>Stock changes (National territory)</v>
      </c>
      <c r="D209" s="169">
        <f>IF(C209="Inland consumpion (Observed)",SUM(D210,D212,D213,D214),_xlfn.IFERROR(VLOOKUP(CONCATENATE('Table 1'!$K209,".",'Table 1'!$J209),Data!$A$3:$C$330,2,FALSE),0))</f>
        <v>0</v>
      </c>
      <c r="E209" s="170"/>
      <c r="F209" s="168">
        <f t="shared" si="10"/>
      </c>
      <c r="G209" s="184"/>
      <c r="H209" s="178"/>
      <c r="J209" t="s">
        <v>243</v>
      </c>
      <c r="K209" t="s">
        <v>247</v>
      </c>
    </row>
    <row r="210" spans="2:11" ht="12.75" customHeight="1">
      <c r="B210" s="197"/>
      <c r="C210" s="172" t="str">
        <f t="shared" si="11"/>
        <v>Inland consumption (calculated)</v>
      </c>
      <c r="D210" s="173">
        <f>IF(C210="Inland consumpion (Observed)",SUM(D211,D213,D214,D215),_xlfn.IFERROR(VLOOKUP(CONCATENATE('Table 1'!$K210,".",'Table 1'!$J210),Data!$A$3:$C$330,2,FALSE),0))</f>
        <v>0</v>
      </c>
      <c r="E210" s="174">
        <f>E205+E206+E207-E208+E209</f>
        <v>0</v>
      </c>
      <c r="F210" s="175">
        <f t="shared" si="10"/>
      </c>
      <c r="G210" s="185">
        <f>IF(E210=E205+E206+E207-E208+E209,IF(E210&lt;0,"WARNING! Negative consumption!",""),"ERROR! Please recalculate.")</f>
      </c>
      <c r="H210" s="179"/>
      <c r="J210" t="s">
        <v>244</v>
      </c>
      <c r="K210" t="s">
        <v>247</v>
      </c>
    </row>
    <row r="211" spans="2:11" ht="12.75" customHeight="1">
      <c r="B211" s="197"/>
      <c r="C211" s="171" t="s">
        <v>652</v>
      </c>
      <c r="D211" s="188">
        <f>IF(C211="Inland consumpion (Observed)",SUM(D212,D214,D215,D216),_xlfn.IFERROR(VLOOKUP(CONCATENATE('Table 1'!$K211,".",'Table 1'!$J211),Data!$A$3:$C$330,2,FALSE),0))</f>
        <v>0</v>
      </c>
      <c r="E211" s="191">
        <f>E210-E212</f>
        <v>0</v>
      </c>
      <c r="F211" s="176">
        <f t="shared" si="10"/>
      </c>
      <c r="G211" s="186">
        <f>IF(E211&lt;&gt;(E210-E212),"ERROR! STATDIFF does not equal Inland Consumption (Calculated) - Inland Consumption (Observed)","")</f>
      </c>
      <c r="H211" s="180"/>
      <c r="J211" s="158" t="s">
        <v>665</v>
      </c>
      <c r="K211" s="158" t="s">
        <v>247</v>
      </c>
    </row>
    <row r="212" spans="2:11" ht="12.75" customHeight="1">
      <c r="B212" s="197"/>
      <c r="C212" s="162" t="s">
        <v>653</v>
      </c>
      <c r="D212" s="189">
        <f>IF(C212="Inland consumpion (Observed)",SUM(D213,D215,D216,D217),_xlfn.IFERROR(VLOOKUP(CONCATENATE('Table 1'!$K212,".",'Table 1'!$J212),Data!$A$3:$C$330,2,FALSE),0))</f>
        <v>0</v>
      </c>
      <c r="E212" s="192">
        <f>SUM(E213,E215,E216,E217)</f>
        <v>0</v>
      </c>
      <c r="F212" s="176">
        <f t="shared" si="10"/>
      </c>
      <c r="G212" s="186">
        <f>IF(E212&lt;0,"ERROR! Do not enter negative numbers",IF(E212&lt;&gt;SUM(E213,E215,E216,E217),"ERROR: Inland consumption (observed) does not equal Transformation + Energy sector + Distribution losses + TFC",""))</f>
      </c>
      <c r="H212" s="180"/>
      <c r="J212" s="161"/>
      <c r="K212" s="161" t="s">
        <v>247</v>
      </c>
    </row>
    <row r="213" spans="2:11" ht="12.75" customHeight="1">
      <c r="B213" s="197"/>
      <c r="C213" s="163" t="s">
        <v>654</v>
      </c>
      <c r="D213" s="188">
        <f>IF(C213="Inland consumpion (Observed)",SUM(D214,D216,D217,D218),_xlfn.IFERROR(VLOOKUP(CONCATENATE('Table 1'!$K213,".",'Table 1'!$J213),Data!$A$3:$C$330,2,FALSE),0))</f>
        <v>0</v>
      </c>
      <c r="E213" s="193"/>
      <c r="F213" s="176">
        <f t="shared" si="10"/>
      </c>
      <c r="G213" s="186">
        <f>IF(E213&lt;0,"ERROR! Do not enter negative numbers",IF(E213&lt;E214,"ERROR: The subtotal Transformation cannot be less than of which: input to electricity and heat generation",""))</f>
      </c>
      <c r="H213" s="180"/>
      <c r="J213" s="159" t="s">
        <v>666</v>
      </c>
      <c r="K213" s="159" t="s">
        <v>247</v>
      </c>
    </row>
    <row r="214" spans="2:11" ht="12.75" customHeight="1">
      <c r="B214" s="197"/>
      <c r="C214" s="165" t="s">
        <v>683</v>
      </c>
      <c r="D214" s="188">
        <f>IF(C214="Inland consumpion (Observed)",SUM(D215,D217,D218,D219),_xlfn.IFERROR(VLOOKUP(CONCATENATE('Table 1'!$K214,".",'Table 1'!$J214),Data!$A$3:$C$330,2,FALSE),0))</f>
        <v>0</v>
      </c>
      <c r="E214" s="193"/>
      <c r="F214" s="176">
        <f t="shared" si="10"/>
      </c>
      <c r="G214" s="186">
        <f>IF(E214&lt;0,"ERROR! Do not enter negative numbers",IF(E214&gt;E213,"ERROR: This item cannot be higher than the subtotal Transformation",""))</f>
      </c>
      <c r="H214" s="180"/>
      <c r="J214" s="195" t="s">
        <v>682</v>
      </c>
      <c r="K214" s="159" t="s">
        <v>247</v>
      </c>
    </row>
    <row r="215" spans="2:11" ht="12.75" customHeight="1">
      <c r="B215" s="197"/>
      <c r="C215" s="163" t="s">
        <v>655</v>
      </c>
      <c r="D215" s="188">
        <f>IF(C215="Inland consumpion (Observed)",SUM(D216,D218,D219,D220),_xlfn.IFERROR(VLOOKUP(CONCATENATE('Table 1'!$K215,".",'Table 1'!$J215),Data!$A$3:$C$330,2,FALSE),0))</f>
        <v>0</v>
      </c>
      <c r="E215" s="193"/>
      <c r="F215" s="176">
        <f t="shared" si="10"/>
      </c>
      <c r="G215" s="186">
        <f>IF(E215&lt;0,"ERROR! Do not enter negative numbers","")</f>
      </c>
      <c r="H215" s="180"/>
      <c r="J215" s="159" t="s">
        <v>667</v>
      </c>
      <c r="K215" s="159" t="s">
        <v>247</v>
      </c>
    </row>
    <row r="216" spans="2:11" ht="12.75" customHeight="1">
      <c r="B216" s="197"/>
      <c r="C216" s="163" t="s">
        <v>656</v>
      </c>
      <c r="D216" s="188">
        <f>IF(C216="Inland consumpion (Observed)",SUM(D217,D219,D220,D221),_xlfn.IFERROR(VLOOKUP(CONCATENATE('Table 1'!$K216,".",'Table 1'!$J216),Data!$A$3:$C$330,2,FALSE),0))</f>
        <v>0</v>
      </c>
      <c r="E216" s="193"/>
      <c r="F216" s="176">
        <f t="shared" si="10"/>
      </c>
      <c r="G216" s="186">
        <f>IF(E216&lt;0,"ERROR! Do not enter negative numbers","")</f>
      </c>
      <c r="H216" s="180"/>
      <c r="J216" s="159" t="s">
        <v>668</v>
      </c>
      <c r="K216" s="159" t="s">
        <v>247</v>
      </c>
    </row>
    <row r="217" spans="2:11" ht="12.75" customHeight="1">
      <c r="B217" s="197"/>
      <c r="C217" s="163" t="s">
        <v>657</v>
      </c>
      <c r="D217" s="188">
        <f>IF(C217="Inland consumpion (Observed)",SUM(D218,D220,D221,D222),_xlfn.IFERROR(VLOOKUP(CONCATENATE('Table 1'!$K217,".",'Table 1'!$J217),Data!$A$3:$C$330,2,FALSE),0))</f>
        <v>0</v>
      </c>
      <c r="E217" s="191">
        <f>SUM(E218:E219)</f>
        <v>0</v>
      </c>
      <c r="F217" s="176">
        <f t="shared" si="10"/>
      </c>
      <c r="G217" s="186">
        <f>IF(E217&lt;0,"ERROR! Do not enter negative numbers",IF(E217&lt;&gt;SUM(E218:E219),"ERROR: TFC does not equal Total Final Non-Energy Consumption + Total Final Energy Consumption",""))</f>
      </c>
      <c r="H217" s="180"/>
      <c r="J217" s="159" t="s">
        <v>669</v>
      </c>
      <c r="K217" s="159" t="s">
        <v>247</v>
      </c>
    </row>
    <row r="218" spans="2:11" ht="12.75" customHeight="1">
      <c r="B218" s="197"/>
      <c r="C218" s="164" t="s">
        <v>658</v>
      </c>
      <c r="D218" s="188">
        <f>IF(C218="Inland consumpion (Observed)",SUM(D219,D221,D222,D223),_xlfn.IFERROR(VLOOKUP(CONCATENATE('Table 1'!$K218,".",'Table 1'!$J218),Data!$A$3:$C$330,2,FALSE),0))</f>
        <v>0</v>
      </c>
      <c r="E218" s="193"/>
      <c r="F218" s="176">
        <f t="shared" si="10"/>
      </c>
      <c r="G218" s="186">
        <f>IF(E218&lt;0,"ERROR! Do not enter negative numbers","")</f>
      </c>
      <c r="H218" s="180"/>
      <c r="J218" s="159" t="s">
        <v>670</v>
      </c>
      <c r="K218" s="159" t="s">
        <v>247</v>
      </c>
    </row>
    <row r="219" spans="2:11" ht="12.75" customHeight="1">
      <c r="B219" s="197"/>
      <c r="C219" s="164" t="s">
        <v>659</v>
      </c>
      <c r="D219" s="188">
        <f>IF(C219="Inland consumpion (Observed)",SUM(D220,D222,D223,D224),_xlfn.IFERROR(VLOOKUP(CONCATENATE('Table 1'!$K219,".",'Table 1'!$J219),Data!$A$3:$C$330,2,FALSE),0))</f>
        <v>0</v>
      </c>
      <c r="E219" s="191">
        <f>SUM(E220:E222)</f>
        <v>0</v>
      </c>
      <c r="F219" s="176">
        <f t="shared" si="10"/>
      </c>
      <c r="G219" s="186">
        <f>IF(E219&lt;0,"ERROR! Do not enter negative numbers",IF(E219&lt;&gt;SUM(E220:E222),"ERROR: Total Final Energy Consumption does not equal Industry + Transport + Other sectors",""))</f>
      </c>
      <c r="H219" s="180"/>
      <c r="J219" s="159" t="s">
        <v>671</v>
      </c>
      <c r="K219" s="159" t="s">
        <v>247</v>
      </c>
    </row>
    <row r="220" spans="2:11" ht="12.75" customHeight="1">
      <c r="B220" s="197"/>
      <c r="C220" s="165" t="s">
        <v>660</v>
      </c>
      <c r="D220" s="188">
        <f>IF(C220="Inland consumpion (Observed)",SUM(D221,D223,D224,D225),_xlfn.IFERROR(VLOOKUP(CONCATENATE('Table 1'!$K220,".",'Table 1'!$J220),Data!$A$3:$C$330,2,FALSE),0))</f>
        <v>0</v>
      </c>
      <c r="E220" s="193"/>
      <c r="F220" s="176">
        <f t="shared" si="10"/>
      </c>
      <c r="G220" s="186">
        <f>IF(E220&lt;0,"ERROR! Do not enter negative numbers","")</f>
      </c>
      <c r="H220" s="180"/>
      <c r="J220" s="159" t="s">
        <v>681</v>
      </c>
      <c r="K220" s="159" t="s">
        <v>247</v>
      </c>
    </row>
    <row r="221" spans="2:11" ht="12.75" customHeight="1">
      <c r="B221" s="197"/>
      <c r="C221" s="165" t="s">
        <v>661</v>
      </c>
      <c r="D221" s="188">
        <f>IF(C221="Inland consumpion (Observed)",SUM(D222,D224,D225,D226),_xlfn.IFERROR(VLOOKUP(CONCATENATE('Table 1'!$K221,".",'Table 1'!$J221),Data!$A$3:$C$330,2,FALSE),0))</f>
        <v>0</v>
      </c>
      <c r="E221" s="193"/>
      <c r="F221" s="176">
        <f t="shared" si="10"/>
      </c>
      <c r="G221" s="186">
        <f>IF(E221&lt;0,"ERROR! Do not enter negative numbers","")</f>
      </c>
      <c r="H221" s="180"/>
      <c r="J221" s="159" t="s">
        <v>672</v>
      </c>
      <c r="K221" s="159" t="s">
        <v>247</v>
      </c>
    </row>
    <row r="222" spans="2:11" ht="12.75" customHeight="1">
      <c r="B222" s="197"/>
      <c r="C222" s="165" t="s">
        <v>662</v>
      </c>
      <c r="D222" s="188">
        <f>IF(C222="Inland consumpion (Observed)",SUM(D223,D225,D226,D227),_xlfn.IFERROR(VLOOKUP(CONCATENATE('Table 1'!$K222,".",'Table 1'!$J222),Data!$A$3:$C$330,2,FALSE),0))</f>
        <v>0</v>
      </c>
      <c r="E222" s="193"/>
      <c r="F222" s="176">
        <f t="shared" si="10"/>
      </c>
      <c r="G222" s="186">
        <f>IF(E222&lt;0,"ERROR! Do not enter negative numbers",IF(E222&lt;SUM(E223:E224),"ERROR: The subtotal Other Sectors cannot be less than the sum of Residential + Commercial &amp;  Public services",""))</f>
      </c>
      <c r="H222" s="180"/>
      <c r="J222" s="159" t="s">
        <v>673</v>
      </c>
      <c r="K222" s="159" t="s">
        <v>247</v>
      </c>
    </row>
    <row r="223" spans="2:11" ht="12.75" customHeight="1">
      <c r="B223" s="197"/>
      <c r="C223" s="166" t="s">
        <v>663</v>
      </c>
      <c r="D223" s="188">
        <f>IF(C223="Inland consumpion (Observed)",SUM(D224,D226,D227,D228),_xlfn.IFERROR(VLOOKUP(CONCATENATE('Table 1'!$K223,".",'Table 1'!$J223),Data!$A$3:$C$330,2,FALSE),0))</f>
        <v>0</v>
      </c>
      <c r="E223" s="193"/>
      <c r="F223" s="176">
        <f t="shared" si="10"/>
      </c>
      <c r="G223" s="186">
        <f>IF(E223&lt;0,"ERROR! Do not enter negative numbers","")</f>
      </c>
      <c r="H223" s="180"/>
      <c r="J223" s="159" t="s">
        <v>674</v>
      </c>
      <c r="K223" s="159" t="s">
        <v>247</v>
      </c>
    </row>
    <row r="224" spans="2:11" ht="12.75" customHeight="1" thickBot="1">
      <c r="B224" s="198"/>
      <c r="C224" s="167" t="s">
        <v>664</v>
      </c>
      <c r="D224" s="190">
        <f>IF(C224="Inland consumpion (Observed)",SUM(D225,D227,D228,D229),_xlfn.IFERROR(VLOOKUP(CONCATENATE('Table 1'!$K224,".",'Table 1'!$J224),Data!$A$3:$C$330,2,FALSE),0))</f>
        <v>0</v>
      </c>
      <c r="E224" s="194"/>
      <c r="F224" s="177">
        <f t="shared" si="10"/>
      </c>
      <c r="G224" s="187">
        <f>IF(E224&lt;0,"ERROR! Do not enter negative numbers","")</f>
      </c>
      <c r="H224" s="181"/>
      <c r="J224" s="160" t="s">
        <v>684</v>
      </c>
      <c r="K224" s="160" t="s">
        <v>247</v>
      </c>
    </row>
    <row r="225" spans="2:11" ht="12.75" customHeight="1">
      <c r="B225" s="196" t="s">
        <v>360</v>
      </c>
      <c r="C225" s="74" t="str">
        <f aca="true" t="shared" si="12" ref="C225:C230">C205</f>
        <v>Indigenous production</v>
      </c>
      <c r="D225" s="169">
        <f>IF(C225="Inland consumpion (Observed)",SUM(D226,D228,D229,D230),_xlfn.IFERROR(VLOOKUP(CONCATENATE('Table 1'!$K225,".",'Table 1'!$J225),Data!$A$3:$C$330,2,FALSE),0))</f>
        <v>0</v>
      </c>
      <c r="E225" s="170"/>
      <c r="F225" s="168">
        <f t="shared" si="10"/>
      </c>
      <c r="G225" s="184">
        <f>IF(E225&lt;0,"ERROR! Do not enter negative numbers","")</f>
      </c>
      <c r="H225" s="178"/>
      <c r="J225" t="s">
        <v>239</v>
      </c>
      <c r="K225" t="s">
        <v>248</v>
      </c>
    </row>
    <row r="226" spans="2:11" ht="12.75" customHeight="1">
      <c r="B226" s="197"/>
      <c r="C226" s="74" t="str">
        <f t="shared" si="12"/>
        <v>From other sources</v>
      </c>
      <c r="D226" s="169">
        <f>IF(C226="Inland consumpion (Observed)",SUM(D227,D229,D230,D231),_xlfn.IFERROR(VLOOKUP(CONCATENATE('Table 1'!$K226,".",'Table 1'!$J226),Data!$A$3:$C$330,2,FALSE),0))</f>
        <v>0</v>
      </c>
      <c r="E226" s="170"/>
      <c r="F226" s="168">
        <f t="shared" si="10"/>
      </c>
      <c r="G226" s="184">
        <f>IF(E226&lt;0,"ERROR! Do not enter negative numbers","")</f>
      </c>
      <c r="H226" s="178"/>
      <c r="J226" t="s">
        <v>240</v>
      </c>
      <c r="K226" t="s">
        <v>248</v>
      </c>
    </row>
    <row r="227" spans="2:11" ht="12.75" customHeight="1">
      <c r="B227" s="197"/>
      <c r="C227" s="74" t="str">
        <f t="shared" si="12"/>
        <v>Total imports (Balance)</v>
      </c>
      <c r="D227" s="169">
        <f>IF(C227="Inland consumpion (Observed)",SUM(D228,D230,D231,D232),_xlfn.IFERROR(VLOOKUP(CONCATENATE('Table 1'!$K227,".",'Table 1'!$J227),Data!$A$3:$C$330,2,FALSE),0))</f>
        <v>0</v>
      </c>
      <c r="E227" s="170"/>
      <c r="F227" s="168">
        <f t="shared" si="10"/>
      </c>
      <c r="G227" s="184">
        <f>IF(E227&lt;0,"ERROR! Do not enter negative numbers","")</f>
      </c>
      <c r="H227" s="178"/>
      <c r="J227" t="s">
        <v>241</v>
      </c>
      <c r="K227" t="s">
        <v>248</v>
      </c>
    </row>
    <row r="228" spans="2:11" ht="12.75" customHeight="1">
      <c r="B228" s="197"/>
      <c r="C228" s="74" t="str">
        <f t="shared" si="12"/>
        <v>Total exports (Balance)</v>
      </c>
      <c r="D228" s="169">
        <f>IF(C228="Inland consumpion (Observed)",SUM(D229,D231,D232,D233),_xlfn.IFERROR(VLOOKUP(CONCATENATE('Table 1'!$K228,".",'Table 1'!$J228),Data!$A$3:$C$330,2,FALSE),0))</f>
        <v>0</v>
      </c>
      <c r="E228" s="170"/>
      <c r="F228" s="168">
        <f t="shared" si="10"/>
      </c>
      <c r="G228" s="184"/>
      <c r="H228" s="178"/>
      <c r="J228" t="s">
        <v>242</v>
      </c>
      <c r="K228" t="s">
        <v>248</v>
      </c>
    </row>
    <row r="229" spans="2:11" ht="12.75" customHeight="1">
      <c r="B229" s="197"/>
      <c r="C229" s="74" t="str">
        <f t="shared" si="12"/>
        <v>Stock changes (National territory)</v>
      </c>
      <c r="D229" s="169">
        <f>IF(C229="Inland consumpion (Observed)",SUM(D230,D232,D233,D234),_xlfn.IFERROR(VLOOKUP(CONCATENATE('Table 1'!$K229,".",'Table 1'!$J229),Data!$A$3:$C$330,2,FALSE),0))</f>
        <v>0</v>
      </c>
      <c r="E229" s="170"/>
      <c r="F229" s="168">
        <f t="shared" si="10"/>
      </c>
      <c r="G229" s="184"/>
      <c r="H229" s="178"/>
      <c r="J229" t="s">
        <v>243</v>
      </c>
      <c r="K229" t="s">
        <v>248</v>
      </c>
    </row>
    <row r="230" spans="2:11" ht="12.75" customHeight="1">
      <c r="B230" s="197"/>
      <c r="C230" s="172" t="str">
        <f t="shared" si="12"/>
        <v>Inland consumption (calculated)</v>
      </c>
      <c r="D230" s="173">
        <f>IF(C230="Inland consumpion (Observed)",SUM(D231,D233,D234,D235),_xlfn.IFERROR(VLOOKUP(CONCATENATE('Table 1'!$K230,".",'Table 1'!$J230),Data!$A$3:$C$330,2,FALSE),0))</f>
        <v>0</v>
      </c>
      <c r="E230" s="174">
        <f>E225+E226+E227-E228+E229</f>
        <v>0</v>
      </c>
      <c r="F230" s="175">
        <f t="shared" si="10"/>
      </c>
      <c r="G230" s="185">
        <f>IF(E230=E225+E226+E227-E228+E229,IF(E230&lt;0,"WARNING! Negative consumption!",""),"ERROR! Please recalculate.")</f>
      </c>
      <c r="H230" s="179"/>
      <c r="J230" t="s">
        <v>244</v>
      </c>
      <c r="K230" t="s">
        <v>248</v>
      </c>
    </row>
    <row r="231" spans="2:11" ht="12.75" customHeight="1">
      <c r="B231" s="197"/>
      <c r="C231" s="171" t="s">
        <v>652</v>
      </c>
      <c r="D231" s="188">
        <f>IF(C231="Inland consumpion (Observed)",SUM(D232,D234,D235,D236),_xlfn.IFERROR(VLOOKUP(CONCATENATE('Table 1'!$K231,".",'Table 1'!$J231),Data!$A$3:$C$330,2,FALSE),0))</f>
        <v>0</v>
      </c>
      <c r="E231" s="191">
        <f>E230-E232</f>
        <v>0</v>
      </c>
      <c r="F231" s="176">
        <f t="shared" si="10"/>
      </c>
      <c r="G231" s="186">
        <f>IF(E231&lt;&gt;(E230-E232),"ERROR! STATDIFF does not equal Inland Consumption (Calculated) - Inland Consumption (Observed)","")</f>
      </c>
      <c r="H231" s="180"/>
      <c r="J231" s="158" t="s">
        <v>665</v>
      </c>
      <c r="K231" s="158" t="s">
        <v>248</v>
      </c>
    </row>
    <row r="232" spans="2:11" ht="12.75" customHeight="1">
      <c r="B232" s="197"/>
      <c r="C232" s="162" t="s">
        <v>653</v>
      </c>
      <c r="D232" s="189">
        <f>IF(C232="Inland consumpion (Observed)",SUM(D233,D235,D236,D237),_xlfn.IFERROR(VLOOKUP(CONCATENATE('Table 1'!$K232,".",'Table 1'!$J232),Data!$A$3:$C$330,2,FALSE),0))</f>
        <v>0</v>
      </c>
      <c r="E232" s="192">
        <f>SUM(E233,E235,E236,E237)</f>
        <v>0</v>
      </c>
      <c r="F232" s="176">
        <f t="shared" si="10"/>
      </c>
      <c r="G232" s="186">
        <f>IF(E232&lt;0,"ERROR! Do not enter negative numbers",IF(E232&lt;&gt;SUM(E233,E235,E236,E237),"ERROR: Inland consumption (observed) does not equal Transformation + Energy sector + Distribution losses + TFC",""))</f>
      </c>
      <c r="H232" s="180"/>
      <c r="J232" s="161"/>
      <c r="K232" s="161" t="s">
        <v>248</v>
      </c>
    </row>
    <row r="233" spans="2:11" ht="12.75" customHeight="1">
      <c r="B233" s="197"/>
      <c r="C233" s="163" t="s">
        <v>654</v>
      </c>
      <c r="D233" s="188">
        <f>IF(C233="Inland consumpion (Observed)",SUM(D234,D236,D237,D238),_xlfn.IFERROR(VLOOKUP(CONCATENATE('Table 1'!$K233,".",'Table 1'!$J233),Data!$A$3:$C$330,2,FALSE),0))</f>
        <v>0</v>
      </c>
      <c r="E233" s="193"/>
      <c r="F233" s="176">
        <f t="shared" si="10"/>
      </c>
      <c r="G233" s="186">
        <f>IF(E233&lt;0,"ERROR! Do not enter negative numbers",IF(E233&lt;E234,"ERROR: The subtotal Transformation cannot be less than of which: input to electricity and heat generation",""))</f>
      </c>
      <c r="H233" s="180"/>
      <c r="J233" s="159" t="s">
        <v>666</v>
      </c>
      <c r="K233" s="159" t="s">
        <v>248</v>
      </c>
    </row>
    <row r="234" spans="2:11" ht="12.75" customHeight="1">
      <c r="B234" s="197"/>
      <c r="C234" s="165" t="s">
        <v>683</v>
      </c>
      <c r="D234" s="188">
        <f>IF(C234="Inland consumpion (Observed)",SUM(D235,D237,D238,D239),_xlfn.IFERROR(VLOOKUP(CONCATENATE('Table 1'!$K234,".",'Table 1'!$J234),Data!$A$3:$C$330,2,FALSE),0))</f>
        <v>0</v>
      </c>
      <c r="E234" s="193"/>
      <c r="F234" s="176">
        <f t="shared" si="10"/>
      </c>
      <c r="G234" s="186">
        <f>IF(E234&lt;0,"ERROR! Do not enter negative numbers",IF(E234&gt;E233,"ERROR: This item cannot be higher than the subtotal Transformation",""))</f>
      </c>
      <c r="H234" s="180"/>
      <c r="J234" s="195" t="s">
        <v>682</v>
      </c>
      <c r="K234" s="159" t="s">
        <v>248</v>
      </c>
    </row>
    <row r="235" spans="2:11" ht="12.75" customHeight="1">
      <c r="B235" s="197"/>
      <c r="C235" s="163" t="s">
        <v>655</v>
      </c>
      <c r="D235" s="188">
        <f>IF(C235="Inland consumpion (Observed)",SUM(D236,D238,D239,D240),_xlfn.IFERROR(VLOOKUP(CONCATENATE('Table 1'!$K235,".",'Table 1'!$J235),Data!$A$3:$C$330,2,FALSE),0))</f>
        <v>0</v>
      </c>
      <c r="E235" s="193"/>
      <c r="F235" s="176">
        <f t="shared" si="10"/>
      </c>
      <c r="G235" s="186">
        <f>IF(E235&lt;0,"ERROR! Do not enter negative numbers","")</f>
      </c>
      <c r="H235" s="180"/>
      <c r="J235" s="159" t="s">
        <v>667</v>
      </c>
      <c r="K235" s="159" t="s">
        <v>248</v>
      </c>
    </row>
    <row r="236" spans="2:11" ht="12.75" customHeight="1">
      <c r="B236" s="197"/>
      <c r="C236" s="163" t="s">
        <v>656</v>
      </c>
      <c r="D236" s="188">
        <f>IF(C236="Inland consumpion (Observed)",SUM(D237,D239,D240,D241),_xlfn.IFERROR(VLOOKUP(CONCATENATE('Table 1'!$K236,".",'Table 1'!$J236),Data!$A$3:$C$330,2,FALSE),0))</f>
        <v>0</v>
      </c>
      <c r="E236" s="193"/>
      <c r="F236" s="176">
        <f t="shared" si="10"/>
      </c>
      <c r="G236" s="186">
        <f>IF(E236&lt;0,"ERROR! Do not enter negative numbers","")</f>
      </c>
      <c r="H236" s="180"/>
      <c r="J236" s="159" t="s">
        <v>668</v>
      </c>
      <c r="K236" s="159" t="s">
        <v>248</v>
      </c>
    </row>
    <row r="237" spans="2:11" ht="12.75" customHeight="1">
      <c r="B237" s="197"/>
      <c r="C237" s="163" t="s">
        <v>657</v>
      </c>
      <c r="D237" s="188">
        <f>IF(C237="Inland consumpion (Observed)",SUM(D238,D240,D241,D242),_xlfn.IFERROR(VLOOKUP(CONCATENATE('Table 1'!$K237,".",'Table 1'!$J237),Data!$A$3:$C$330,2,FALSE),0))</f>
        <v>0</v>
      </c>
      <c r="E237" s="191">
        <f>SUM(E238:E239)</f>
        <v>0</v>
      </c>
      <c r="F237" s="176">
        <f t="shared" si="10"/>
      </c>
      <c r="G237" s="186">
        <f>IF(E237&lt;0,"ERROR! Do not enter negative numbers",IF(E237&lt;&gt;SUM(E238:E239),"ERROR: TFC does not equal Total Final Non-Energy Consumption + Total Final Energy Consumption",""))</f>
      </c>
      <c r="H237" s="180"/>
      <c r="J237" s="159" t="s">
        <v>669</v>
      </c>
      <c r="K237" s="159" t="s">
        <v>248</v>
      </c>
    </row>
    <row r="238" spans="2:11" ht="12.75" customHeight="1">
      <c r="B238" s="197"/>
      <c r="C238" s="164" t="s">
        <v>658</v>
      </c>
      <c r="D238" s="188">
        <f>IF(C238="Inland consumpion (Observed)",SUM(D239,D241,D242,D243),_xlfn.IFERROR(VLOOKUP(CONCATENATE('Table 1'!$K238,".",'Table 1'!$J238),Data!$A$3:$C$330,2,FALSE),0))</f>
        <v>0</v>
      </c>
      <c r="E238" s="193"/>
      <c r="F238" s="176">
        <f t="shared" si="10"/>
      </c>
      <c r="G238" s="186">
        <f>IF(E238&lt;0,"ERROR! Do not enter negative numbers","")</f>
      </c>
      <c r="H238" s="180"/>
      <c r="J238" s="159" t="s">
        <v>670</v>
      </c>
      <c r="K238" s="159" t="s">
        <v>248</v>
      </c>
    </row>
    <row r="239" spans="2:11" ht="12.75" customHeight="1">
      <c r="B239" s="197"/>
      <c r="C239" s="164" t="s">
        <v>659</v>
      </c>
      <c r="D239" s="188">
        <f>IF(C239="Inland consumpion (Observed)",SUM(D240,D242,D243,D244),_xlfn.IFERROR(VLOOKUP(CONCATENATE('Table 1'!$K239,".",'Table 1'!$J239),Data!$A$3:$C$330,2,FALSE),0))</f>
        <v>0</v>
      </c>
      <c r="E239" s="191">
        <f>SUM(E240:E242)</f>
        <v>0</v>
      </c>
      <c r="F239" s="176">
        <f t="shared" si="10"/>
      </c>
      <c r="G239" s="186">
        <f>IF(E239&lt;0,"ERROR! Do not enter negative numbers",IF(E239&lt;&gt;SUM(E240:E242),"ERROR: Total Final Energy Consumption does not equal Industry + Transport + Other sectors",""))</f>
      </c>
      <c r="H239" s="180"/>
      <c r="J239" s="159" t="s">
        <v>671</v>
      </c>
      <c r="K239" s="159" t="s">
        <v>248</v>
      </c>
    </row>
    <row r="240" spans="2:11" ht="12.75" customHeight="1">
      <c r="B240" s="197"/>
      <c r="C240" s="165" t="s">
        <v>660</v>
      </c>
      <c r="D240" s="188">
        <f>IF(C240="Inland consumpion (Observed)",SUM(D241,D243,D244,D245),_xlfn.IFERROR(VLOOKUP(CONCATENATE('Table 1'!$K240,".",'Table 1'!$J240),Data!$A$3:$C$330,2,FALSE),0))</f>
        <v>0</v>
      </c>
      <c r="E240" s="193"/>
      <c r="F240" s="176">
        <f t="shared" si="10"/>
      </c>
      <c r="G240" s="186">
        <f>IF(E240&lt;0,"ERROR! Do not enter negative numbers","")</f>
      </c>
      <c r="H240" s="180"/>
      <c r="J240" s="159" t="s">
        <v>681</v>
      </c>
      <c r="K240" s="159" t="s">
        <v>248</v>
      </c>
    </row>
    <row r="241" spans="2:11" ht="12.75" customHeight="1">
      <c r="B241" s="197"/>
      <c r="C241" s="165" t="s">
        <v>661</v>
      </c>
      <c r="D241" s="188">
        <f>IF(C241="Inland consumpion (Observed)",SUM(D242,D244,D245,D246),_xlfn.IFERROR(VLOOKUP(CONCATENATE('Table 1'!$K241,".",'Table 1'!$J241),Data!$A$3:$C$330,2,FALSE),0))</f>
        <v>0</v>
      </c>
      <c r="E241" s="193"/>
      <c r="F241" s="176">
        <f t="shared" si="10"/>
      </c>
      <c r="G241" s="186">
        <f>IF(E241&lt;0,"ERROR! Do not enter negative numbers","")</f>
      </c>
      <c r="H241" s="180"/>
      <c r="J241" s="159" t="s">
        <v>672</v>
      </c>
      <c r="K241" s="159" t="s">
        <v>248</v>
      </c>
    </row>
    <row r="242" spans="2:11" ht="12.75" customHeight="1">
      <c r="B242" s="197"/>
      <c r="C242" s="165" t="s">
        <v>662</v>
      </c>
      <c r="D242" s="188">
        <f>IF(C242="Inland consumpion (Observed)",SUM(D243,D245,D246,D247),_xlfn.IFERROR(VLOOKUP(CONCATENATE('Table 1'!$K242,".",'Table 1'!$J242),Data!$A$3:$C$330,2,FALSE),0))</f>
        <v>0</v>
      </c>
      <c r="E242" s="193"/>
      <c r="F242" s="176">
        <f t="shared" si="10"/>
      </c>
      <c r="G242" s="186">
        <f>IF(E242&lt;0,"ERROR! Do not enter negative numbers",IF(E242&lt;SUM(E243:E244),"ERROR: The subtotal Other Sectors cannot be less than the sum of Residential + Commercial &amp;  Public services",""))</f>
      </c>
      <c r="H242" s="180"/>
      <c r="J242" s="159" t="s">
        <v>673</v>
      </c>
      <c r="K242" s="159" t="s">
        <v>248</v>
      </c>
    </row>
    <row r="243" spans="2:11" ht="12.75" customHeight="1">
      <c r="B243" s="197"/>
      <c r="C243" s="166" t="s">
        <v>663</v>
      </c>
      <c r="D243" s="188">
        <f>IF(C243="Inland consumpion (Observed)",SUM(D244,D246,D247,D248),_xlfn.IFERROR(VLOOKUP(CONCATENATE('Table 1'!$K243,".",'Table 1'!$J243),Data!$A$3:$C$330,2,FALSE),0))</f>
        <v>0</v>
      </c>
      <c r="E243" s="193"/>
      <c r="F243" s="176">
        <f t="shared" si="10"/>
      </c>
      <c r="G243" s="186">
        <f>IF(E243&lt;0,"ERROR! Do not enter negative numbers","")</f>
      </c>
      <c r="H243" s="180"/>
      <c r="J243" s="159" t="s">
        <v>674</v>
      </c>
      <c r="K243" s="159" t="s">
        <v>248</v>
      </c>
    </row>
    <row r="244" spans="2:11" ht="12.75" customHeight="1" thickBot="1">
      <c r="B244" s="198"/>
      <c r="C244" s="167" t="s">
        <v>664</v>
      </c>
      <c r="D244" s="190">
        <f>IF(C244="Inland consumpion (Observed)",SUM(D245,D247,D248,D249),_xlfn.IFERROR(VLOOKUP(CONCATENATE('Table 1'!$K244,".",'Table 1'!$J244),Data!$A$3:$C$330,2,FALSE),0))</f>
        <v>0</v>
      </c>
      <c r="E244" s="194"/>
      <c r="F244" s="177">
        <f t="shared" si="10"/>
      </c>
      <c r="G244" s="187">
        <f>IF(E244&lt;0,"ERROR! Do not enter negative numbers","")</f>
      </c>
      <c r="H244" s="181"/>
      <c r="J244" s="160" t="s">
        <v>684</v>
      </c>
      <c r="K244" s="160" t="s">
        <v>248</v>
      </c>
    </row>
    <row r="245" spans="2:11" ht="12.75" customHeight="1">
      <c r="B245" s="196" t="s">
        <v>361</v>
      </c>
      <c r="C245" s="74" t="str">
        <f aca="true" t="shared" si="13" ref="C245:C250">C225</f>
        <v>Indigenous production</v>
      </c>
      <c r="D245" s="169">
        <f>IF(C245="Inland consumpion (Observed)",SUM(D246,D248,D249,D250),_xlfn.IFERROR(VLOOKUP(CONCATENATE('Table 1'!$K245,".",'Table 1'!$J245),Data!$A$3:$C$330,2,FALSE),0))</f>
        <v>0</v>
      </c>
      <c r="E245" s="170"/>
      <c r="F245" s="168">
        <f t="shared" si="10"/>
      </c>
      <c r="G245" s="184">
        <f>IF(E245&lt;0,"ERROR! Do not enter negative numbers","")</f>
      </c>
      <c r="H245" s="178"/>
      <c r="J245" t="s">
        <v>239</v>
      </c>
      <c r="K245" t="s">
        <v>249</v>
      </c>
    </row>
    <row r="246" spans="2:11" ht="12.75" customHeight="1">
      <c r="B246" s="197"/>
      <c r="C246" s="74" t="str">
        <f t="shared" si="13"/>
        <v>From other sources</v>
      </c>
      <c r="D246" s="169">
        <f>IF(C246="Inland consumpion (Observed)",SUM(D247,D249,D250,D251),_xlfn.IFERROR(VLOOKUP(CONCATENATE('Table 1'!$K246,".",'Table 1'!$J246),Data!$A$3:$C$330,2,FALSE),0))</f>
        <v>0</v>
      </c>
      <c r="E246" s="170"/>
      <c r="F246" s="168">
        <f t="shared" si="10"/>
      </c>
      <c r="G246" s="184">
        <f>IF(E246&lt;0,"ERROR! Do not enter negative numbers","")</f>
      </c>
      <c r="H246" s="178"/>
      <c r="J246" t="s">
        <v>240</v>
      </c>
      <c r="K246" t="s">
        <v>249</v>
      </c>
    </row>
    <row r="247" spans="2:11" ht="12.75" customHeight="1">
      <c r="B247" s="197"/>
      <c r="C247" s="74" t="str">
        <f t="shared" si="13"/>
        <v>Total imports (Balance)</v>
      </c>
      <c r="D247" s="169">
        <f>IF(C247="Inland consumpion (Observed)",SUM(D248,D250,D251,D252),_xlfn.IFERROR(VLOOKUP(CONCATENATE('Table 1'!$K247,".",'Table 1'!$J247),Data!$A$3:$C$330,2,FALSE),0))</f>
        <v>0</v>
      </c>
      <c r="E247" s="170"/>
      <c r="F247" s="168">
        <f t="shared" si="10"/>
      </c>
      <c r="G247" s="184">
        <f>IF(E247&lt;0,"ERROR! Do not enter negative numbers","")</f>
      </c>
      <c r="H247" s="178"/>
      <c r="J247" t="s">
        <v>241</v>
      </c>
      <c r="K247" t="s">
        <v>249</v>
      </c>
    </row>
    <row r="248" spans="2:11" ht="12.75" customHeight="1">
      <c r="B248" s="197"/>
      <c r="C248" s="74" t="str">
        <f t="shared" si="13"/>
        <v>Total exports (Balance)</v>
      </c>
      <c r="D248" s="169">
        <f>IF(C248="Inland consumpion (Observed)",SUM(D249,D251,D252,D253),_xlfn.IFERROR(VLOOKUP(CONCATENATE('Table 1'!$K248,".",'Table 1'!$J248),Data!$A$3:$C$330,2,FALSE),0))</f>
        <v>0</v>
      </c>
      <c r="E248" s="170"/>
      <c r="F248" s="168">
        <f t="shared" si="10"/>
      </c>
      <c r="G248" s="184"/>
      <c r="H248" s="178"/>
      <c r="J248" t="s">
        <v>242</v>
      </c>
      <c r="K248" t="s">
        <v>249</v>
      </c>
    </row>
    <row r="249" spans="2:11" ht="12.75" customHeight="1">
      <c r="B249" s="197"/>
      <c r="C249" s="74" t="str">
        <f t="shared" si="13"/>
        <v>Stock changes (National territory)</v>
      </c>
      <c r="D249" s="169">
        <f>IF(C249="Inland consumpion (Observed)",SUM(D250,D252,D253,D254),_xlfn.IFERROR(VLOOKUP(CONCATENATE('Table 1'!$K249,".",'Table 1'!$J249),Data!$A$3:$C$330,2,FALSE),0))</f>
        <v>0</v>
      </c>
      <c r="E249" s="170"/>
      <c r="F249" s="168">
        <f t="shared" si="10"/>
      </c>
      <c r="G249" s="184"/>
      <c r="H249" s="178"/>
      <c r="J249" t="s">
        <v>243</v>
      </c>
      <c r="K249" t="s">
        <v>249</v>
      </c>
    </row>
    <row r="250" spans="2:11" ht="12.75" customHeight="1">
      <c r="B250" s="197"/>
      <c r="C250" s="172" t="str">
        <f t="shared" si="13"/>
        <v>Inland consumption (calculated)</v>
      </c>
      <c r="D250" s="173">
        <f>IF(C250="Inland consumpion (Observed)",SUM(D251,D253,D254,D255),_xlfn.IFERROR(VLOOKUP(CONCATENATE('Table 1'!$K250,".",'Table 1'!$J250),Data!$A$3:$C$330,2,FALSE),0))</f>
        <v>0</v>
      </c>
      <c r="E250" s="174">
        <f>E245+E246+E247-E248+E249</f>
        <v>0</v>
      </c>
      <c r="F250" s="175">
        <f t="shared" si="10"/>
      </c>
      <c r="G250" s="185">
        <f>IF(E250=E245+E246+E247-E248+E249,IF(E250&lt;0,"WARNING! Negative consumption!",""),"ERROR! Please recalculate.")</f>
      </c>
      <c r="H250" s="179"/>
      <c r="J250" t="s">
        <v>244</v>
      </c>
      <c r="K250" t="s">
        <v>249</v>
      </c>
    </row>
    <row r="251" spans="2:11" ht="12.75" customHeight="1">
      <c r="B251" s="197"/>
      <c r="C251" s="171" t="s">
        <v>652</v>
      </c>
      <c r="D251" s="188">
        <f>IF(C251="Inland consumpion (Observed)",SUM(D252,D254,D255,D256),_xlfn.IFERROR(VLOOKUP(CONCATENATE('Table 1'!$K251,".",'Table 1'!$J251),Data!$A$3:$C$330,2,FALSE),0))</f>
        <v>0</v>
      </c>
      <c r="E251" s="191">
        <f>E250-E252</f>
        <v>0</v>
      </c>
      <c r="F251" s="176">
        <f t="shared" si="10"/>
      </c>
      <c r="G251" s="186">
        <f>IF(E251&lt;&gt;(E250-E252),"ERROR! STATDIFF does not equal Inland Consumption (Calculated) - Inland Consumption (Observed)","")</f>
      </c>
      <c r="H251" s="180"/>
      <c r="J251" s="158" t="s">
        <v>665</v>
      </c>
      <c r="K251" s="158" t="s">
        <v>249</v>
      </c>
    </row>
    <row r="252" spans="2:11" ht="12.75" customHeight="1">
      <c r="B252" s="197"/>
      <c r="C252" s="162" t="s">
        <v>653</v>
      </c>
      <c r="D252" s="189">
        <f>IF(C252="Inland consumpion (Observed)",SUM(D253,D255,D256,D257),_xlfn.IFERROR(VLOOKUP(CONCATENATE('Table 1'!$K252,".",'Table 1'!$J252),Data!$A$3:$C$330,2,FALSE),0))</f>
        <v>0</v>
      </c>
      <c r="E252" s="192">
        <f>SUM(E253,E255,E256,E257)</f>
        <v>0</v>
      </c>
      <c r="F252" s="176">
        <f t="shared" si="10"/>
      </c>
      <c r="G252" s="186">
        <f>IF(E252&lt;0,"ERROR! Do not enter negative numbers",IF(E252&lt;&gt;SUM(E253,E255,E256,E257),"ERROR: Inland consumption (observed) does not equal Transformation + Energy sector + Distribution losses + TFC",""))</f>
      </c>
      <c r="H252" s="180"/>
      <c r="J252" s="161"/>
      <c r="K252" s="161" t="s">
        <v>249</v>
      </c>
    </row>
    <row r="253" spans="2:11" ht="12.75" customHeight="1">
      <c r="B253" s="197"/>
      <c r="C253" s="163" t="s">
        <v>654</v>
      </c>
      <c r="D253" s="188">
        <f>IF(C253="Inland consumpion (Observed)",SUM(D254,D256,D257,D258),_xlfn.IFERROR(VLOOKUP(CONCATENATE('Table 1'!$K253,".",'Table 1'!$J253),Data!$A$3:$C$330,2,FALSE),0))</f>
        <v>0</v>
      </c>
      <c r="E253" s="193"/>
      <c r="F253" s="176">
        <f t="shared" si="10"/>
      </c>
      <c r="G253" s="186">
        <f>IF(E253&lt;0,"ERROR! Do not enter negative numbers",IF(E253&lt;E254,"ERROR: The subtotal Transformation cannot be less than of which: input to electricity and heat generation",""))</f>
      </c>
      <c r="H253" s="180"/>
      <c r="J253" s="159" t="s">
        <v>666</v>
      </c>
      <c r="K253" s="159" t="s">
        <v>249</v>
      </c>
    </row>
    <row r="254" spans="2:11" ht="12.75" customHeight="1">
      <c r="B254" s="197"/>
      <c r="C254" s="165" t="s">
        <v>683</v>
      </c>
      <c r="D254" s="188">
        <f>IF(C254="Inland consumpion (Observed)",SUM(D255,D257,D258,D259),_xlfn.IFERROR(VLOOKUP(CONCATENATE('Table 1'!$K254,".",'Table 1'!$J254),Data!$A$3:$C$330,2,FALSE),0))</f>
        <v>0</v>
      </c>
      <c r="E254" s="193"/>
      <c r="F254" s="176">
        <f aca="true" t="shared" si="14" ref="F254:F317">IF(D254=0,IF(E254&lt;&gt;0,"new value",""),IF(ISBLANK(E254),"",E254/D254-1))</f>
      </c>
      <c r="G254" s="186">
        <f>IF(E254&lt;0,"ERROR! Do not enter negative numbers",IF(E254&gt;E253,"ERROR: This item cannot be higher than the subtotal Transformation",""))</f>
      </c>
      <c r="H254" s="180"/>
      <c r="J254" s="195" t="s">
        <v>682</v>
      </c>
      <c r="K254" s="159" t="s">
        <v>249</v>
      </c>
    </row>
    <row r="255" spans="2:11" ht="12.75" customHeight="1">
      <c r="B255" s="197"/>
      <c r="C255" s="163" t="s">
        <v>655</v>
      </c>
      <c r="D255" s="188">
        <f>IF(C255="Inland consumpion (Observed)",SUM(D256,D258,D259,D260),_xlfn.IFERROR(VLOOKUP(CONCATENATE('Table 1'!$K255,".",'Table 1'!$J255),Data!$A$3:$C$330,2,FALSE),0))</f>
        <v>0</v>
      </c>
      <c r="E255" s="193"/>
      <c r="F255" s="176">
        <f t="shared" si="14"/>
      </c>
      <c r="G255" s="186">
        <f>IF(E255&lt;0,"ERROR! Do not enter negative numbers","")</f>
      </c>
      <c r="H255" s="180"/>
      <c r="J255" s="159" t="s">
        <v>667</v>
      </c>
      <c r="K255" s="159" t="s">
        <v>249</v>
      </c>
    </row>
    <row r="256" spans="2:11" ht="12.75" customHeight="1">
      <c r="B256" s="197"/>
      <c r="C256" s="163" t="s">
        <v>656</v>
      </c>
      <c r="D256" s="188">
        <f>IF(C256="Inland consumpion (Observed)",SUM(D257,D259,D260,D261),_xlfn.IFERROR(VLOOKUP(CONCATENATE('Table 1'!$K256,".",'Table 1'!$J256),Data!$A$3:$C$330,2,FALSE),0))</f>
        <v>0</v>
      </c>
      <c r="E256" s="193"/>
      <c r="F256" s="176">
        <f t="shared" si="14"/>
      </c>
      <c r="G256" s="186">
        <f>IF(E256&lt;0,"ERROR! Do not enter negative numbers","")</f>
      </c>
      <c r="H256" s="180"/>
      <c r="J256" s="159" t="s">
        <v>668</v>
      </c>
      <c r="K256" s="159" t="s">
        <v>249</v>
      </c>
    </row>
    <row r="257" spans="2:11" ht="12.75" customHeight="1">
      <c r="B257" s="197"/>
      <c r="C257" s="163" t="s">
        <v>657</v>
      </c>
      <c r="D257" s="188">
        <f>IF(C257="Inland consumpion (Observed)",SUM(D258,D260,D261,D262),_xlfn.IFERROR(VLOOKUP(CONCATENATE('Table 1'!$K257,".",'Table 1'!$J257),Data!$A$3:$C$330,2,FALSE),0))</f>
        <v>0</v>
      </c>
      <c r="E257" s="191">
        <f>SUM(E258:E259)</f>
        <v>0</v>
      </c>
      <c r="F257" s="176">
        <f t="shared" si="14"/>
      </c>
      <c r="G257" s="186">
        <f>IF(E257&lt;0,"ERROR! Do not enter negative numbers",IF(E257&lt;&gt;SUM(E258:E259),"ERROR: TFC does not equal Total Final Non-Energy Consumption + Total Final Energy Consumption",""))</f>
      </c>
      <c r="H257" s="180"/>
      <c r="J257" s="159" t="s">
        <v>669</v>
      </c>
      <c r="K257" s="159" t="s">
        <v>249</v>
      </c>
    </row>
    <row r="258" spans="2:11" ht="12.75" customHeight="1">
      <c r="B258" s="197"/>
      <c r="C258" s="164" t="s">
        <v>658</v>
      </c>
      <c r="D258" s="188">
        <f>IF(C258="Inland consumpion (Observed)",SUM(D259,D261,D262,D263),_xlfn.IFERROR(VLOOKUP(CONCATENATE('Table 1'!$K258,".",'Table 1'!$J258),Data!$A$3:$C$330,2,FALSE),0))</f>
        <v>0</v>
      </c>
      <c r="E258" s="193"/>
      <c r="F258" s="176">
        <f t="shared" si="14"/>
      </c>
      <c r="G258" s="186">
        <f>IF(E258&lt;0,"ERROR! Do not enter negative numbers","")</f>
      </c>
      <c r="H258" s="180"/>
      <c r="J258" s="159" t="s">
        <v>670</v>
      </c>
      <c r="K258" s="159" t="s">
        <v>249</v>
      </c>
    </row>
    <row r="259" spans="2:11" ht="12.75" customHeight="1">
      <c r="B259" s="197"/>
      <c r="C259" s="164" t="s">
        <v>659</v>
      </c>
      <c r="D259" s="188">
        <f>IF(C259="Inland consumpion (Observed)",SUM(D260,D262,D263,D264),_xlfn.IFERROR(VLOOKUP(CONCATENATE('Table 1'!$K259,".",'Table 1'!$J259),Data!$A$3:$C$330,2,FALSE),0))</f>
        <v>0</v>
      </c>
      <c r="E259" s="191">
        <f>SUM(E260:E262)</f>
        <v>0</v>
      </c>
      <c r="F259" s="176">
        <f t="shared" si="14"/>
      </c>
      <c r="G259" s="186">
        <f>IF(E259&lt;0,"ERROR! Do not enter negative numbers",IF(E259&lt;&gt;SUM(E260:E262),"ERROR: Total Final Energy Consumption does not equal Industry + Transport + Other sectors",""))</f>
      </c>
      <c r="H259" s="180"/>
      <c r="J259" s="159" t="s">
        <v>671</v>
      </c>
      <c r="K259" s="159" t="s">
        <v>249</v>
      </c>
    </row>
    <row r="260" spans="2:11" ht="12.75" customHeight="1">
      <c r="B260" s="197"/>
      <c r="C260" s="165" t="s">
        <v>660</v>
      </c>
      <c r="D260" s="188">
        <f>IF(C260="Inland consumpion (Observed)",SUM(D261,D263,D264,D265),_xlfn.IFERROR(VLOOKUP(CONCATENATE('Table 1'!$K260,".",'Table 1'!$J260),Data!$A$3:$C$330,2,FALSE),0))</f>
        <v>0</v>
      </c>
      <c r="E260" s="193"/>
      <c r="F260" s="176">
        <f t="shared" si="14"/>
      </c>
      <c r="G260" s="186">
        <f>IF(E260&lt;0,"ERROR! Do not enter negative numbers","")</f>
      </c>
      <c r="H260" s="180"/>
      <c r="J260" s="159" t="s">
        <v>681</v>
      </c>
      <c r="K260" s="159" t="s">
        <v>249</v>
      </c>
    </row>
    <row r="261" spans="2:11" ht="12.75" customHeight="1">
      <c r="B261" s="197"/>
      <c r="C261" s="165" t="s">
        <v>661</v>
      </c>
      <c r="D261" s="188">
        <f>IF(C261="Inland consumpion (Observed)",SUM(D262,D264,D265,D266),_xlfn.IFERROR(VLOOKUP(CONCATENATE('Table 1'!$K261,".",'Table 1'!$J261),Data!$A$3:$C$330,2,FALSE),0))</f>
        <v>0</v>
      </c>
      <c r="E261" s="193"/>
      <c r="F261" s="176">
        <f t="shared" si="14"/>
      </c>
      <c r="G261" s="186">
        <f>IF(E261&lt;0,"ERROR! Do not enter negative numbers","")</f>
      </c>
      <c r="H261" s="180"/>
      <c r="J261" s="159" t="s">
        <v>672</v>
      </c>
      <c r="K261" s="159" t="s">
        <v>249</v>
      </c>
    </row>
    <row r="262" spans="2:11" ht="12.75" customHeight="1">
      <c r="B262" s="197"/>
      <c r="C262" s="165" t="s">
        <v>662</v>
      </c>
      <c r="D262" s="188">
        <f>IF(C262="Inland consumpion (Observed)",SUM(D263,D265,D266,D267),_xlfn.IFERROR(VLOOKUP(CONCATENATE('Table 1'!$K262,".",'Table 1'!$J262),Data!$A$3:$C$330,2,FALSE),0))</f>
        <v>0</v>
      </c>
      <c r="E262" s="193"/>
      <c r="F262" s="176">
        <f t="shared" si="14"/>
      </c>
      <c r="G262" s="186">
        <f>IF(E262&lt;0,"ERROR! Do not enter negative numbers",IF(E262&lt;SUM(E263:E264),"ERROR: The subtotal Other Sectors cannot be less than the sum of Residential + Commercial &amp;  Public services",""))</f>
      </c>
      <c r="H262" s="180"/>
      <c r="J262" s="159" t="s">
        <v>673</v>
      </c>
      <c r="K262" s="159" t="s">
        <v>249</v>
      </c>
    </row>
    <row r="263" spans="2:11" ht="12.75" customHeight="1">
      <c r="B263" s="197"/>
      <c r="C263" s="166" t="s">
        <v>663</v>
      </c>
      <c r="D263" s="188">
        <f>IF(C263="Inland consumpion (Observed)",SUM(D264,D266,D267,D268),_xlfn.IFERROR(VLOOKUP(CONCATENATE('Table 1'!$K263,".",'Table 1'!$J263),Data!$A$3:$C$330,2,FALSE),0))</f>
        <v>0</v>
      </c>
      <c r="E263" s="193"/>
      <c r="F263" s="176">
        <f t="shared" si="14"/>
      </c>
      <c r="G263" s="186">
        <f>IF(E263&lt;0,"ERROR! Do not enter negative numbers","")</f>
      </c>
      <c r="H263" s="180"/>
      <c r="J263" s="159" t="s">
        <v>674</v>
      </c>
      <c r="K263" s="159" t="s">
        <v>249</v>
      </c>
    </row>
    <row r="264" spans="2:11" ht="12.75" customHeight="1" thickBot="1">
      <c r="B264" s="198"/>
      <c r="C264" s="167" t="s">
        <v>664</v>
      </c>
      <c r="D264" s="190">
        <f>IF(C264="Inland consumpion (Observed)",SUM(D265,D267,D268,D269),_xlfn.IFERROR(VLOOKUP(CONCATENATE('Table 1'!$K264,".",'Table 1'!$J264),Data!$A$3:$C$330,2,FALSE),0))</f>
        <v>0</v>
      </c>
      <c r="E264" s="194"/>
      <c r="F264" s="177">
        <f t="shared" si="14"/>
      </c>
      <c r="G264" s="187">
        <f>IF(E264&lt;0,"ERROR! Do not enter negative numbers","")</f>
      </c>
      <c r="H264" s="181"/>
      <c r="J264" s="160" t="s">
        <v>684</v>
      </c>
      <c r="K264" s="160" t="s">
        <v>249</v>
      </c>
    </row>
    <row r="265" spans="2:11" ht="12.75" customHeight="1">
      <c r="B265" s="196" t="s">
        <v>389</v>
      </c>
      <c r="C265" s="74" t="str">
        <f aca="true" t="shared" si="15" ref="C265:C270">C245</f>
        <v>Indigenous production</v>
      </c>
      <c r="D265" s="169">
        <f>IF(C265="Inland consumpion (Observed)",SUM(D266,D268,D269,D270),_xlfn.IFERROR(VLOOKUP(CONCATENATE('Table 1'!$K265,".",'Table 1'!$J265),Data!$A$3:$C$330,2,FALSE),0))</f>
        <v>0</v>
      </c>
      <c r="E265" s="170"/>
      <c r="F265" s="168">
        <f t="shared" si="14"/>
      </c>
      <c r="G265" s="184">
        <f>IF(E265&lt;0,"ERROR! Do not enter negative numbers","")</f>
      </c>
      <c r="H265" s="178"/>
      <c r="J265" t="s">
        <v>239</v>
      </c>
      <c r="K265" t="s">
        <v>390</v>
      </c>
    </row>
    <row r="266" spans="2:11" ht="12.75" customHeight="1">
      <c r="B266" s="197"/>
      <c r="C266" s="74" t="str">
        <f t="shared" si="15"/>
        <v>From other sources</v>
      </c>
      <c r="D266" s="169">
        <f>IF(C266="Inland consumpion (Observed)",SUM(D267,D269,D270,D271),_xlfn.IFERROR(VLOOKUP(CONCATENATE('Table 1'!$K266,".",'Table 1'!$J266),Data!$A$3:$C$330,2,FALSE),0))</f>
        <v>0</v>
      </c>
      <c r="E266" s="170"/>
      <c r="F266" s="168">
        <f t="shared" si="14"/>
      </c>
      <c r="G266" s="184">
        <f>IF(E266&lt;0,"ERROR! Do not enter negative numbers","")</f>
      </c>
      <c r="H266" s="178"/>
      <c r="J266" t="s">
        <v>240</v>
      </c>
      <c r="K266" t="s">
        <v>390</v>
      </c>
    </row>
    <row r="267" spans="2:11" ht="12.75" customHeight="1">
      <c r="B267" s="197"/>
      <c r="C267" s="74" t="str">
        <f t="shared" si="15"/>
        <v>Total imports (Balance)</v>
      </c>
      <c r="D267" s="169">
        <f>IF(C267="Inland consumpion (Observed)",SUM(D268,D270,D271,D272),_xlfn.IFERROR(VLOOKUP(CONCATENATE('Table 1'!$K267,".",'Table 1'!$J267),Data!$A$3:$C$330,2,FALSE),0))</f>
        <v>0</v>
      </c>
      <c r="E267" s="170"/>
      <c r="F267" s="168">
        <f t="shared" si="14"/>
      </c>
      <c r="G267" s="184">
        <f>IF(E267&lt;0,"ERROR! Do not enter negative numbers","")</f>
      </c>
      <c r="H267" s="178"/>
      <c r="J267" t="s">
        <v>241</v>
      </c>
      <c r="K267" t="s">
        <v>390</v>
      </c>
    </row>
    <row r="268" spans="2:11" ht="12.75" customHeight="1">
      <c r="B268" s="197"/>
      <c r="C268" s="74" t="str">
        <f t="shared" si="15"/>
        <v>Total exports (Balance)</v>
      </c>
      <c r="D268" s="169">
        <f>IF(C268="Inland consumpion (Observed)",SUM(D269,D271,D272,D273),_xlfn.IFERROR(VLOOKUP(CONCATENATE('Table 1'!$K268,".",'Table 1'!$J268),Data!$A$3:$C$330,2,FALSE),0))</f>
        <v>0</v>
      </c>
      <c r="E268" s="170"/>
      <c r="F268" s="168">
        <f t="shared" si="14"/>
      </c>
      <c r="G268" s="184"/>
      <c r="H268" s="178"/>
      <c r="J268" t="s">
        <v>242</v>
      </c>
      <c r="K268" t="s">
        <v>390</v>
      </c>
    </row>
    <row r="269" spans="2:11" ht="12.75" customHeight="1">
      <c r="B269" s="197"/>
      <c r="C269" s="74" t="str">
        <f t="shared" si="15"/>
        <v>Stock changes (National territory)</v>
      </c>
      <c r="D269" s="169">
        <f>IF(C269="Inland consumpion (Observed)",SUM(D270,D272,D273,D274),_xlfn.IFERROR(VLOOKUP(CONCATENATE('Table 1'!$K269,".",'Table 1'!$J269),Data!$A$3:$C$330,2,FALSE),0))</f>
        <v>0</v>
      </c>
      <c r="E269" s="170"/>
      <c r="F269" s="168">
        <f t="shared" si="14"/>
      </c>
      <c r="G269" s="184"/>
      <c r="H269" s="178"/>
      <c r="J269" t="s">
        <v>243</v>
      </c>
      <c r="K269" t="s">
        <v>390</v>
      </c>
    </row>
    <row r="270" spans="2:11" ht="12.75" customHeight="1">
      <c r="B270" s="197"/>
      <c r="C270" s="172" t="str">
        <f t="shared" si="15"/>
        <v>Inland consumption (calculated)</v>
      </c>
      <c r="D270" s="173">
        <f>IF(C270="Inland consumpion (Observed)",SUM(D271,D273,D274,D275),_xlfn.IFERROR(VLOOKUP(CONCATENATE('Table 1'!$K270,".",'Table 1'!$J270),Data!$A$3:$C$330,2,FALSE),0))</f>
        <v>0</v>
      </c>
      <c r="E270" s="174">
        <f>E265+E266+E267-E268+E269</f>
        <v>0</v>
      </c>
      <c r="F270" s="175">
        <f t="shared" si="14"/>
      </c>
      <c r="G270" s="185">
        <f>IF(E270=E265+E266+E267-E268+E269,IF(E270&lt;0,"WARNING! Negative consumption!",""),"ERROR! Please recalculate.")</f>
      </c>
      <c r="H270" s="179"/>
      <c r="J270" t="s">
        <v>244</v>
      </c>
      <c r="K270" t="s">
        <v>390</v>
      </c>
    </row>
    <row r="271" spans="2:11" ht="12.75" customHeight="1">
      <c r="B271" s="197"/>
      <c r="C271" s="171" t="s">
        <v>652</v>
      </c>
      <c r="D271" s="188">
        <f>IF(C271="Inland consumpion (Observed)",SUM(D272,D274,D275,D276),_xlfn.IFERROR(VLOOKUP(CONCATENATE('Table 1'!$K271,".",'Table 1'!$J271),Data!$A$3:$C$330,2,FALSE),0))</f>
        <v>0</v>
      </c>
      <c r="E271" s="191">
        <f>E270-E272</f>
        <v>0</v>
      </c>
      <c r="F271" s="176">
        <f t="shared" si="14"/>
      </c>
      <c r="G271" s="186">
        <f>IF(E271&lt;&gt;(E270-E272),"ERROR! STATDIFF does not equal Inland Consumption (Calculated) - Inland Consumption (Observed)","")</f>
      </c>
      <c r="H271" s="180"/>
      <c r="J271" s="158" t="s">
        <v>665</v>
      </c>
      <c r="K271" s="158" t="s">
        <v>390</v>
      </c>
    </row>
    <row r="272" spans="2:11" ht="12.75" customHeight="1">
      <c r="B272" s="197"/>
      <c r="C272" s="162" t="s">
        <v>653</v>
      </c>
      <c r="D272" s="189">
        <f>IF(C272="Inland consumpion (Observed)",SUM(D273,D275,D276,D277),_xlfn.IFERROR(VLOOKUP(CONCATENATE('Table 1'!$K272,".",'Table 1'!$J272),Data!$A$3:$C$330,2,FALSE),0))</f>
        <v>0</v>
      </c>
      <c r="E272" s="192">
        <f>SUM(E273,E275,E276,E277)</f>
        <v>0</v>
      </c>
      <c r="F272" s="176">
        <f t="shared" si="14"/>
      </c>
      <c r="G272" s="186">
        <f>IF(E272&lt;0,"ERROR! Do not enter negative numbers",IF(E272&lt;&gt;SUM(E273,E275,E276,E277),"ERROR: Inland consumption (observed) does not equal Transformation + Energy sector + Distribution losses + TFC",""))</f>
      </c>
      <c r="H272" s="180"/>
      <c r="J272" s="161"/>
      <c r="K272" s="161" t="s">
        <v>390</v>
      </c>
    </row>
    <row r="273" spans="2:11" ht="12.75" customHeight="1">
      <c r="B273" s="197"/>
      <c r="C273" s="163" t="s">
        <v>654</v>
      </c>
      <c r="D273" s="188">
        <f>IF(C273="Inland consumpion (Observed)",SUM(D274,D276,D277,D278),_xlfn.IFERROR(VLOOKUP(CONCATENATE('Table 1'!$K273,".",'Table 1'!$J273),Data!$A$3:$C$330,2,FALSE),0))</f>
        <v>0</v>
      </c>
      <c r="E273" s="193"/>
      <c r="F273" s="176">
        <f t="shared" si="14"/>
      </c>
      <c r="G273" s="186">
        <f>IF(E273&lt;0,"ERROR! Do not enter negative numbers",IF(E273&lt;E274,"ERROR: The subtotal Transformation cannot be less than of which: input to electricity and heat generation",""))</f>
      </c>
      <c r="H273" s="180"/>
      <c r="J273" s="159" t="s">
        <v>666</v>
      </c>
      <c r="K273" s="159" t="s">
        <v>390</v>
      </c>
    </row>
    <row r="274" spans="2:11" ht="12.75" customHeight="1">
      <c r="B274" s="197"/>
      <c r="C274" s="165" t="s">
        <v>683</v>
      </c>
      <c r="D274" s="188">
        <f>IF(C274="Inland consumpion (Observed)",SUM(D275,D277,D278,D279),_xlfn.IFERROR(VLOOKUP(CONCATENATE('Table 1'!$K274,".",'Table 1'!$J274),Data!$A$3:$C$330,2,FALSE),0))</f>
        <v>0</v>
      </c>
      <c r="E274" s="193"/>
      <c r="F274" s="176">
        <f t="shared" si="14"/>
      </c>
      <c r="G274" s="186">
        <f>IF(E274&lt;0,"ERROR! Do not enter negative numbers",IF(E274&gt;E273,"ERROR: This item cannot be higher than the subtotal Transformation",""))</f>
      </c>
      <c r="H274" s="180"/>
      <c r="J274" s="195" t="s">
        <v>682</v>
      </c>
      <c r="K274" s="159" t="s">
        <v>390</v>
      </c>
    </row>
    <row r="275" spans="2:11" ht="12.75" customHeight="1">
      <c r="B275" s="197"/>
      <c r="C275" s="163" t="s">
        <v>655</v>
      </c>
      <c r="D275" s="188">
        <f>IF(C275="Inland consumpion (Observed)",SUM(D276,D278,D279,D280),_xlfn.IFERROR(VLOOKUP(CONCATENATE('Table 1'!$K275,".",'Table 1'!$J275),Data!$A$3:$C$330,2,FALSE),0))</f>
        <v>0</v>
      </c>
      <c r="E275" s="193"/>
      <c r="F275" s="176">
        <f t="shared" si="14"/>
      </c>
      <c r="G275" s="186">
        <f>IF(E275&lt;0,"ERROR! Do not enter negative numbers","")</f>
      </c>
      <c r="H275" s="180"/>
      <c r="J275" s="159" t="s">
        <v>667</v>
      </c>
      <c r="K275" s="159" t="s">
        <v>390</v>
      </c>
    </row>
    <row r="276" spans="2:11" ht="12.75" customHeight="1">
      <c r="B276" s="197"/>
      <c r="C276" s="163" t="s">
        <v>656</v>
      </c>
      <c r="D276" s="188">
        <f>IF(C276="Inland consumpion (Observed)",SUM(D277,D279,D280,D281),_xlfn.IFERROR(VLOOKUP(CONCATENATE('Table 1'!$K276,".",'Table 1'!$J276),Data!$A$3:$C$330,2,FALSE),0))</f>
        <v>0</v>
      </c>
      <c r="E276" s="193"/>
      <c r="F276" s="176">
        <f t="shared" si="14"/>
      </c>
      <c r="G276" s="186">
        <f>IF(E276&lt;0,"ERROR! Do not enter negative numbers","")</f>
      </c>
      <c r="H276" s="180"/>
      <c r="J276" s="159" t="s">
        <v>668</v>
      </c>
      <c r="K276" s="159" t="s">
        <v>390</v>
      </c>
    </row>
    <row r="277" spans="2:11" ht="12.75" customHeight="1">
      <c r="B277" s="197"/>
      <c r="C277" s="163" t="s">
        <v>657</v>
      </c>
      <c r="D277" s="188">
        <f>IF(C277="Inland consumpion (Observed)",SUM(D278,D280,D281,D282),_xlfn.IFERROR(VLOOKUP(CONCATENATE('Table 1'!$K277,".",'Table 1'!$J277),Data!$A$3:$C$330,2,FALSE),0))</f>
        <v>0</v>
      </c>
      <c r="E277" s="191">
        <f>SUM(E278:E279)</f>
        <v>0</v>
      </c>
      <c r="F277" s="176">
        <f t="shared" si="14"/>
      </c>
      <c r="G277" s="186">
        <f>IF(E277&lt;0,"ERROR! Do not enter negative numbers",IF(E277&lt;&gt;SUM(E278:E279),"ERROR: TFC does not equal Total Final Non-Energy Consumption + Total Final Energy Consumption",""))</f>
      </c>
      <c r="H277" s="180"/>
      <c r="J277" s="159" t="s">
        <v>669</v>
      </c>
      <c r="K277" s="159" t="s">
        <v>390</v>
      </c>
    </row>
    <row r="278" spans="2:11" ht="12.75" customHeight="1">
      <c r="B278" s="197"/>
      <c r="C278" s="164" t="s">
        <v>658</v>
      </c>
      <c r="D278" s="188">
        <f>IF(C278="Inland consumpion (Observed)",SUM(D279,D281,D282,D283),_xlfn.IFERROR(VLOOKUP(CONCATENATE('Table 1'!$K278,".",'Table 1'!$J278),Data!$A$3:$C$330,2,FALSE),0))</f>
        <v>0</v>
      </c>
      <c r="E278" s="193"/>
      <c r="F278" s="176">
        <f t="shared" si="14"/>
      </c>
      <c r="G278" s="186">
        <f>IF(E278&lt;0,"ERROR! Do not enter negative numbers","")</f>
      </c>
      <c r="H278" s="180"/>
      <c r="J278" s="159" t="s">
        <v>670</v>
      </c>
      <c r="K278" s="159" t="s">
        <v>390</v>
      </c>
    </row>
    <row r="279" spans="2:11" ht="12.75" customHeight="1">
      <c r="B279" s="197"/>
      <c r="C279" s="164" t="s">
        <v>659</v>
      </c>
      <c r="D279" s="188">
        <f>IF(C279="Inland consumpion (Observed)",SUM(D280,D282,D283,D284),_xlfn.IFERROR(VLOOKUP(CONCATENATE('Table 1'!$K279,".",'Table 1'!$J279),Data!$A$3:$C$330,2,FALSE),0))</f>
        <v>0</v>
      </c>
      <c r="E279" s="191">
        <f>SUM(E280:E282)</f>
        <v>0</v>
      </c>
      <c r="F279" s="176">
        <f t="shared" si="14"/>
      </c>
      <c r="G279" s="186">
        <f>IF(E279&lt;0,"ERROR! Do not enter negative numbers",IF(E279&lt;&gt;SUM(E280:E282),"ERROR: Total Final Energy Consumption does not equal Industry + Transport + Other sectors",""))</f>
      </c>
      <c r="H279" s="180"/>
      <c r="J279" s="159" t="s">
        <v>671</v>
      </c>
      <c r="K279" s="159" t="s">
        <v>390</v>
      </c>
    </row>
    <row r="280" spans="2:11" ht="12.75" customHeight="1">
      <c r="B280" s="197"/>
      <c r="C280" s="165" t="s">
        <v>660</v>
      </c>
      <c r="D280" s="188">
        <f>IF(C280="Inland consumpion (Observed)",SUM(D281,D283,D284,D285),_xlfn.IFERROR(VLOOKUP(CONCATENATE('Table 1'!$K280,".",'Table 1'!$J280),Data!$A$3:$C$330,2,FALSE),0))</f>
        <v>0</v>
      </c>
      <c r="E280" s="193"/>
      <c r="F280" s="176">
        <f t="shared" si="14"/>
      </c>
      <c r="G280" s="186">
        <f>IF(E280&lt;0,"ERROR! Do not enter negative numbers","")</f>
      </c>
      <c r="H280" s="180"/>
      <c r="J280" s="159" t="s">
        <v>681</v>
      </c>
      <c r="K280" s="159" t="s">
        <v>390</v>
      </c>
    </row>
    <row r="281" spans="2:11" ht="12.75" customHeight="1">
      <c r="B281" s="197"/>
      <c r="C281" s="165" t="s">
        <v>661</v>
      </c>
      <c r="D281" s="188">
        <f>IF(C281="Inland consumpion (Observed)",SUM(D282,D284,D285,D286),_xlfn.IFERROR(VLOOKUP(CONCATENATE('Table 1'!$K281,".",'Table 1'!$J281),Data!$A$3:$C$330,2,FALSE),0))</f>
        <v>0</v>
      </c>
      <c r="E281" s="193"/>
      <c r="F281" s="176">
        <f t="shared" si="14"/>
      </c>
      <c r="G281" s="186">
        <f>IF(E281&lt;0,"ERROR! Do not enter negative numbers","")</f>
      </c>
      <c r="H281" s="180"/>
      <c r="J281" s="159" t="s">
        <v>672</v>
      </c>
      <c r="K281" s="159" t="s">
        <v>390</v>
      </c>
    </row>
    <row r="282" spans="2:11" ht="12.75" customHeight="1">
      <c r="B282" s="197"/>
      <c r="C282" s="165" t="s">
        <v>662</v>
      </c>
      <c r="D282" s="188">
        <f>IF(C282="Inland consumpion (Observed)",SUM(D283,D285,D286,D287),_xlfn.IFERROR(VLOOKUP(CONCATENATE('Table 1'!$K282,".",'Table 1'!$J282),Data!$A$3:$C$330,2,FALSE),0))</f>
        <v>0</v>
      </c>
      <c r="E282" s="193"/>
      <c r="F282" s="176">
        <f t="shared" si="14"/>
      </c>
      <c r="G282" s="186">
        <f>IF(E282&lt;0,"ERROR! Do not enter negative numbers",IF(E282&lt;SUM(E283:E284),"ERROR: The subtotal Other Sectors cannot be less than the sum of Residential + Commercial &amp;  Public services",""))</f>
      </c>
      <c r="H282" s="180"/>
      <c r="J282" s="159" t="s">
        <v>673</v>
      </c>
      <c r="K282" s="159" t="s">
        <v>390</v>
      </c>
    </row>
    <row r="283" spans="2:11" ht="12.75" customHeight="1">
      <c r="B283" s="197"/>
      <c r="C283" s="166" t="s">
        <v>663</v>
      </c>
      <c r="D283" s="188">
        <f>IF(C283="Inland consumpion (Observed)",SUM(D284,D286,D287,D288),_xlfn.IFERROR(VLOOKUP(CONCATENATE('Table 1'!$K283,".",'Table 1'!$J283),Data!$A$3:$C$330,2,FALSE),0))</f>
        <v>0</v>
      </c>
      <c r="E283" s="193"/>
      <c r="F283" s="176">
        <f t="shared" si="14"/>
      </c>
      <c r="G283" s="186">
        <f>IF(E283&lt;0,"ERROR! Do not enter negative numbers","")</f>
      </c>
      <c r="H283" s="180"/>
      <c r="J283" s="159" t="s">
        <v>674</v>
      </c>
      <c r="K283" s="159" t="s">
        <v>390</v>
      </c>
    </row>
    <row r="284" spans="2:11" ht="12.75" customHeight="1" thickBot="1">
      <c r="B284" s="198"/>
      <c r="C284" s="167" t="s">
        <v>664</v>
      </c>
      <c r="D284" s="190">
        <f>IF(C284="Inland consumpion (Observed)",SUM(D285,D287,D288,D289),_xlfn.IFERROR(VLOOKUP(CONCATENATE('Table 1'!$K284,".",'Table 1'!$J284),Data!$A$3:$C$330,2,FALSE),0))</f>
        <v>0</v>
      </c>
      <c r="E284" s="194"/>
      <c r="F284" s="177">
        <f t="shared" si="14"/>
      </c>
      <c r="G284" s="187">
        <f>IF(E284&lt;0,"ERROR! Do not enter negative numbers","")</f>
      </c>
      <c r="H284" s="181"/>
      <c r="J284" s="160" t="s">
        <v>684</v>
      </c>
      <c r="K284" s="160" t="s">
        <v>390</v>
      </c>
    </row>
    <row r="285" spans="2:11" ht="12.75" customHeight="1">
      <c r="B285" s="196" t="s">
        <v>155</v>
      </c>
      <c r="C285" s="74" t="str">
        <f aca="true" t="shared" si="16" ref="C285:C290">C85</f>
        <v>Indigenous production</v>
      </c>
      <c r="D285" s="169">
        <f>IF(C285="Inland consumpion (Observed)",SUM(D286,D288,D289,D290),_xlfn.IFERROR(VLOOKUP(CONCATENATE('Table 1'!$K285,".",'Table 1'!$J285),Data!$A$3:$C$330,2,FALSE),0))</f>
        <v>0</v>
      </c>
      <c r="E285" s="170"/>
      <c r="F285" s="168">
        <f t="shared" si="14"/>
      </c>
      <c r="G285" s="184">
        <f>IF(E285&lt;0,"ERROR! Do not enter negative numbers","")</f>
      </c>
      <c r="H285" s="178"/>
      <c r="J285" t="s">
        <v>239</v>
      </c>
      <c r="K285" t="s">
        <v>245</v>
      </c>
    </row>
    <row r="286" spans="2:11" ht="12.75" customHeight="1">
      <c r="B286" s="197"/>
      <c r="C286" s="74" t="str">
        <f t="shared" si="16"/>
        <v>From other sources</v>
      </c>
      <c r="D286" s="169">
        <f>IF(C286="Inland consumpion (Observed)",SUM(D287,D289,D290,D291),_xlfn.IFERROR(VLOOKUP(CONCATENATE('Table 1'!$K286,".",'Table 1'!$J286),Data!$A$3:$C$330,2,FALSE),0))</f>
        <v>0</v>
      </c>
      <c r="E286" s="170"/>
      <c r="F286" s="168">
        <f t="shared" si="14"/>
      </c>
      <c r="G286" s="184">
        <f>IF(E286&lt;0,"ERROR! Do not enter negative numbers","")</f>
      </c>
      <c r="H286" s="178"/>
      <c r="J286" t="s">
        <v>240</v>
      </c>
      <c r="K286" t="s">
        <v>245</v>
      </c>
    </row>
    <row r="287" spans="2:11" ht="12.75" customHeight="1">
      <c r="B287" s="197"/>
      <c r="C287" s="74" t="str">
        <f t="shared" si="16"/>
        <v>Total imports (Balance)</v>
      </c>
      <c r="D287" s="169">
        <f>IF(C287="Inland consumpion (Observed)",SUM(D288,D290,D291,D292),_xlfn.IFERROR(VLOOKUP(CONCATENATE('Table 1'!$K287,".",'Table 1'!$J287),Data!$A$3:$C$330,2,FALSE),0))</f>
        <v>0</v>
      </c>
      <c r="E287" s="170"/>
      <c r="F287" s="168">
        <f t="shared" si="14"/>
      </c>
      <c r="G287" s="184">
        <f>IF(ABS(E287-Imports!N$170)&gt;2,"ERROR: Import Total &lt;&gt; country sum ± 2","")</f>
      </c>
      <c r="H287" s="178"/>
      <c r="J287" t="s">
        <v>241</v>
      </c>
      <c r="K287" t="s">
        <v>245</v>
      </c>
    </row>
    <row r="288" spans="2:11" ht="12.75" customHeight="1">
      <c r="B288" s="197"/>
      <c r="C288" s="74" t="str">
        <f t="shared" si="16"/>
        <v>Total exports (Balance)</v>
      </c>
      <c r="D288" s="169">
        <f>IF(C288="Inland consumpion (Observed)",SUM(D289,D291,D292,D293),_xlfn.IFERROR(VLOOKUP(CONCATENATE('Table 1'!$K288,".",'Table 1'!$J288),Data!$A$3:$C$330,2,FALSE),0))</f>
        <v>0</v>
      </c>
      <c r="E288" s="170"/>
      <c r="F288" s="168">
        <f t="shared" si="14"/>
      </c>
      <c r="G288" s="184">
        <f>IF(E288-Exports!N$170&lt;&gt;0,"ERROR: Export Total &lt;&gt; country sum ± 2","")</f>
      </c>
      <c r="H288" s="178"/>
      <c r="J288" t="s">
        <v>242</v>
      </c>
      <c r="K288" t="s">
        <v>245</v>
      </c>
    </row>
    <row r="289" spans="2:11" ht="12.75" customHeight="1">
      <c r="B289" s="197"/>
      <c r="C289" s="74" t="str">
        <f t="shared" si="16"/>
        <v>Stock changes (National territory)</v>
      </c>
      <c r="D289" s="169">
        <f>IF(C289="Inland consumpion (Observed)",SUM(D290,D292,D293,D294),_xlfn.IFERROR(VLOOKUP(CONCATENATE('Table 1'!$K289,".",'Table 1'!$J289),Data!$A$3:$C$330,2,FALSE),0))</f>
        <v>0</v>
      </c>
      <c r="E289" s="170"/>
      <c r="F289" s="168">
        <f t="shared" si="14"/>
      </c>
      <c r="G289" s="184"/>
      <c r="H289" s="178"/>
      <c r="J289" t="s">
        <v>243</v>
      </c>
      <c r="K289" t="s">
        <v>245</v>
      </c>
    </row>
    <row r="290" spans="2:11" ht="12.75" customHeight="1">
      <c r="B290" s="197"/>
      <c r="C290" s="172" t="str">
        <f t="shared" si="16"/>
        <v>Inland consumption (calculated)</v>
      </c>
      <c r="D290" s="173">
        <f>IF(C290="Inland consumpion (Observed)",SUM(D291,D293,D294,D295),_xlfn.IFERROR(VLOOKUP(CONCATENATE('Table 1'!$K290,".",'Table 1'!$J290),Data!$A$3:$C$330,2,FALSE),0))</f>
        <v>0</v>
      </c>
      <c r="E290" s="174">
        <f>E285+E286+E287-E288+E289</f>
        <v>0</v>
      </c>
      <c r="F290" s="175">
        <f t="shared" si="14"/>
      </c>
      <c r="G290" s="185">
        <f>IF(E290=E285+E286+E287-E288+E289,IF(E290&lt;0,"WARNING! Negative consumption!",""),"ERROR! Please recalculate.")</f>
      </c>
      <c r="H290" s="179"/>
      <c r="J290" t="s">
        <v>244</v>
      </c>
      <c r="K290" t="s">
        <v>245</v>
      </c>
    </row>
    <row r="291" spans="2:11" ht="12.75" customHeight="1">
      <c r="B291" s="197"/>
      <c r="C291" s="171" t="s">
        <v>652</v>
      </c>
      <c r="D291" s="188">
        <f>IF(C291="Inland consumpion (Observed)",SUM(D292,D294,D295,D296),_xlfn.IFERROR(VLOOKUP(CONCATENATE('Table 1'!$K291,".",'Table 1'!$J291),Data!$A$3:$C$330,2,FALSE),0))</f>
        <v>0</v>
      </c>
      <c r="E291" s="191">
        <f>E290-E292</f>
        <v>0</v>
      </c>
      <c r="F291" s="176">
        <f t="shared" si="14"/>
      </c>
      <c r="G291" s="186">
        <f>IF(E291&lt;&gt;(E290-E292),"ERROR! STATDIFF does not equal Inland Consumption (Calculated) - Inland Consumption (Observed)","")</f>
      </c>
      <c r="H291" s="180"/>
      <c r="J291" s="158" t="s">
        <v>665</v>
      </c>
      <c r="K291" s="158" t="s">
        <v>245</v>
      </c>
    </row>
    <row r="292" spans="2:11" ht="12.75" customHeight="1">
      <c r="B292" s="197"/>
      <c r="C292" s="162" t="s">
        <v>653</v>
      </c>
      <c r="D292" s="189">
        <f>IF(C292="Inland consumpion (Observed)",SUM(D293,D295,D296,D297),_xlfn.IFERROR(VLOOKUP(CONCATENATE('Table 1'!$K292,".",'Table 1'!$J292),Data!$A$3:$C$330,2,FALSE),0))</f>
        <v>0</v>
      </c>
      <c r="E292" s="192">
        <f>SUM(E293,E295,E296,E297)</f>
        <v>0</v>
      </c>
      <c r="F292" s="176">
        <f t="shared" si="14"/>
      </c>
      <c r="G292" s="186">
        <f>IF(E292&lt;0,"ERROR! Do not enter negative numbers",IF(E292&lt;&gt;SUM(E293,E295,E296,E297),"ERROR: Inland consumption (observed) does not equal Transformation + Energy sector + Distribution losses + TFC",""))</f>
      </c>
      <c r="H292" s="180"/>
      <c r="J292" s="161"/>
      <c r="K292" s="161" t="s">
        <v>245</v>
      </c>
    </row>
    <row r="293" spans="2:11" ht="12.75" customHeight="1">
      <c r="B293" s="197"/>
      <c r="C293" s="163" t="s">
        <v>654</v>
      </c>
      <c r="D293" s="188">
        <f>IF(C293="Inland consumpion (Observed)",SUM(D294,D296,D297,D298),_xlfn.IFERROR(VLOOKUP(CONCATENATE('Table 1'!$K293,".",'Table 1'!$J293),Data!$A$3:$C$330,2,FALSE),0))</f>
        <v>0</v>
      </c>
      <c r="E293" s="193"/>
      <c r="F293" s="176">
        <f t="shared" si="14"/>
      </c>
      <c r="G293" s="186">
        <f>IF(E293&lt;0,"ERROR! Do not enter negative numbers",IF(E293&lt;E294,"ERROR: The subtotal Transformation cannot be less than of which: input to electricity and heat generation",""))</f>
      </c>
      <c r="H293" s="180"/>
      <c r="J293" s="159" t="s">
        <v>666</v>
      </c>
      <c r="K293" s="159" t="s">
        <v>245</v>
      </c>
    </row>
    <row r="294" spans="2:11" ht="12.75" customHeight="1">
      <c r="B294" s="197"/>
      <c r="C294" s="165" t="s">
        <v>683</v>
      </c>
      <c r="D294" s="188">
        <f>IF(C294="Inland consumpion (Observed)",SUM(D295,D297,D298,D299),_xlfn.IFERROR(VLOOKUP(CONCATENATE('Table 1'!$K294,".",'Table 1'!$J294),Data!$A$3:$C$330,2,FALSE),0))</f>
        <v>0</v>
      </c>
      <c r="E294" s="193"/>
      <c r="F294" s="176">
        <f t="shared" si="14"/>
      </c>
      <c r="G294" s="186">
        <f>IF(E294&lt;0,"ERROR! Do not enter negative numbers",IF(E294&gt;E293,"ERROR: This item cannot be higher than the subtotal Transformation",""))</f>
      </c>
      <c r="H294" s="180"/>
      <c r="J294" s="195" t="s">
        <v>682</v>
      </c>
      <c r="K294" s="159" t="s">
        <v>245</v>
      </c>
    </row>
    <row r="295" spans="2:11" ht="12.75" customHeight="1">
      <c r="B295" s="197"/>
      <c r="C295" s="163" t="s">
        <v>655</v>
      </c>
      <c r="D295" s="188">
        <f>IF(C295="Inland consumpion (Observed)",SUM(D296,D298,D299,D300),_xlfn.IFERROR(VLOOKUP(CONCATENATE('Table 1'!$K295,".",'Table 1'!$J295),Data!$A$3:$C$330,2,FALSE),0))</f>
        <v>0</v>
      </c>
      <c r="E295" s="193"/>
      <c r="F295" s="176">
        <f t="shared" si="14"/>
      </c>
      <c r="G295" s="186">
        <f>IF(E295&lt;0,"ERROR! Do not enter negative numbers","")</f>
      </c>
      <c r="H295" s="180"/>
      <c r="J295" s="159" t="s">
        <v>667</v>
      </c>
      <c r="K295" s="159" t="s">
        <v>245</v>
      </c>
    </row>
    <row r="296" spans="2:11" ht="12.75" customHeight="1">
      <c r="B296" s="197"/>
      <c r="C296" s="163" t="s">
        <v>656</v>
      </c>
      <c r="D296" s="188">
        <f>IF(C296="Inland consumpion (Observed)",SUM(D297,D299,D300,D301),_xlfn.IFERROR(VLOOKUP(CONCATENATE('Table 1'!$K296,".",'Table 1'!$J296),Data!$A$3:$C$330,2,FALSE),0))</f>
        <v>0</v>
      </c>
      <c r="E296" s="193"/>
      <c r="F296" s="176">
        <f t="shared" si="14"/>
      </c>
      <c r="G296" s="186">
        <f>IF(E296&lt;0,"ERROR! Do not enter negative numbers","")</f>
      </c>
      <c r="H296" s="180"/>
      <c r="J296" s="159" t="s">
        <v>668</v>
      </c>
      <c r="K296" s="159" t="s">
        <v>245</v>
      </c>
    </row>
    <row r="297" spans="2:11" ht="12.75" customHeight="1">
      <c r="B297" s="197"/>
      <c r="C297" s="163" t="s">
        <v>657</v>
      </c>
      <c r="D297" s="188">
        <f>IF(C297="Inland consumpion (Observed)",SUM(D298,D300,D301,D302),_xlfn.IFERROR(VLOOKUP(CONCATENATE('Table 1'!$K297,".",'Table 1'!$J297),Data!$A$3:$C$330,2,FALSE),0))</f>
        <v>0</v>
      </c>
      <c r="E297" s="191">
        <f>SUM(E298:E299)</f>
        <v>0</v>
      </c>
      <c r="F297" s="176">
        <f t="shared" si="14"/>
      </c>
      <c r="G297" s="186">
        <f>IF(E297&lt;0,"ERROR! Do not enter negative numbers",IF(E297&lt;&gt;SUM(E298:E299),"ERROR: TFC does not equal Total Final Non-Energy Consumption + Total Final Energy Consumption",""))</f>
      </c>
      <c r="H297" s="180"/>
      <c r="J297" s="159" t="s">
        <v>669</v>
      </c>
      <c r="K297" s="159" t="s">
        <v>245</v>
      </c>
    </row>
    <row r="298" spans="2:11" ht="12.75" customHeight="1">
      <c r="B298" s="197"/>
      <c r="C298" s="164" t="s">
        <v>658</v>
      </c>
      <c r="D298" s="188">
        <f>IF(C298="Inland consumpion (Observed)",SUM(D299,D301,D302,D303),_xlfn.IFERROR(VLOOKUP(CONCATENATE('Table 1'!$K298,".",'Table 1'!$J298),Data!$A$3:$C$330,2,FALSE),0))</f>
        <v>0</v>
      </c>
      <c r="E298" s="193"/>
      <c r="F298" s="176">
        <f t="shared" si="14"/>
      </c>
      <c r="G298" s="186">
        <f>IF(E298&lt;0,"ERROR! Do not enter negative numbers","")</f>
      </c>
      <c r="H298" s="180"/>
      <c r="J298" s="159" t="s">
        <v>670</v>
      </c>
      <c r="K298" s="159" t="s">
        <v>245</v>
      </c>
    </row>
    <row r="299" spans="2:11" ht="12.75" customHeight="1">
      <c r="B299" s="197"/>
      <c r="C299" s="164" t="s">
        <v>659</v>
      </c>
      <c r="D299" s="188">
        <f>IF(C299="Inland consumpion (Observed)",SUM(D300,D302,D303,D304),_xlfn.IFERROR(VLOOKUP(CONCATENATE('Table 1'!$K299,".",'Table 1'!$J299),Data!$A$3:$C$330,2,FALSE),0))</f>
        <v>0</v>
      </c>
      <c r="E299" s="191">
        <f>SUM(E300:E302)</f>
        <v>0</v>
      </c>
      <c r="F299" s="176">
        <f t="shared" si="14"/>
      </c>
      <c r="G299" s="186">
        <f>IF(E299&lt;0,"ERROR! Do not enter negative numbers",IF(E299&lt;&gt;SUM(E300:E302),"ERROR: Total Final Energy Consumption does not equal Industry + Transport + Other sectors",""))</f>
      </c>
      <c r="H299" s="180"/>
      <c r="J299" s="159" t="s">
        <v>671</v>
      </c>
      <c r="K299" s="159" t="s">
        <v>245</v>
      </c>
    </row>
    <row r="300" spans="2:11" ht="12.75" customHeight="1">
      <c r="B300" s="197"/>
      <c r="C300" s="165" t="s">
        <v>660</v>
      </c>
      <c r="D300" s="188">
        <f>IF(C300="Inland consumpion (Observed)",SUM(D301,D303,D304,D305),_xlfn.IFERROR(VLOOKUP(CONCATENATE('Table 1'!$K300,".",'Table 1'!$J300),Data!$A$3:$C$330,2,FALSE),0))</f>
        <v>0</v>
      </c>
      <c r="E300" s="193"/>
      <c r="F300" s="176">
        <f t="shared" si="14"/>
      </c>
      <c r="G300" s="186">
        <f>IF(E300&lt;0,"ERROR! Do not enter negative numbers","")</f>
      </c>
      <c r="H300" s="180"/>
      <c r="J300" s="159" t="s">
        <v>681</v>
      </c>
      <c r="K300" s="159" t="s">
        <v>245</v>
      </c>
    </row>
    <row r="301" spans="2:11" ht="12.75" customHeight="1">
      <c r="B301" s="197"/>
      <c r="C301" s="165" t="s">
        <v>661</v>
      </c>
      <c r="D301" s="188">
        <f>IF(C301="Inland consumpion (Observed)",SUM(D302,D304,D305,D306),_xlfn.IFERROR(VLOOKUP(CONCATENATE('Table 1'!$K301,".",'Table 1'!$J301),Data!$A$3:$C$330,2,FALSE),0))</f>
        <v>0</v>
      </c>
      <c r="E301" s="193"/>
      <c r="F301" s="176">
        <f t="shared" si="14"/>
      </c>
      <c r="G301" s="186">
        <f>IF(E301&lt;0,"ERROR! Do not enter negative numbers","")</f>
      </c>
      <c r="H301" s="180"/>
      <c r="J301" s="159" t="s">
        <v>672</v>
      </c>
      <c r="K301" s="159" t="s">
        <v>245</v>
      </c>
    </row>
    <row r="302" spans="2:11" ht="12.75" customHeight="1">
      <c r="B302" s="197"/>
      <c r="C302" s="165" t="s">
        <v>662</v>
      </c>
      <c r="D302" s="188">
        <f>IF(C302="Inland consumpion (Observed)",SUM(D303,D305,D306,D307),_xlfn.IFERROR(VLOOKUP(CONCATENATE('Table 1'!$K302,".",'Table 1'!$J302),Data!$A$3:$C$330,2,FALSE),0))</f>
        <v>0</v>
      </c>
      <c r="E302" s="193"/>
      <c r="F302" s="176">
        <f t="shared" si="14"/>
      </c>
      <c r="G302" s="186">
        <f>IF(E302&lt;0,"ERROR! Do not enter negative numbers",IF(E302&lt;SUM(E303:E304),"ERROR: The subtotal Other Sectors cannot be less than the sum of Residential + Commercial &amp;  Public services",""))</f>
      </c>
      <c r="H302" s="180"/>
      <c r="J302" s="159" t="s">
        <v>673</v>
      </c>
      <c r="K302" s="159" t="s">
        <v>245</v>
      </c>
    </row>
    <row r="303" spans="2:11" ht="12.75" customHeight="1">
      <c r="B303" s="197"/>
      <c r="C303" s="166" t="s">
        <v>663</v>
      </c>
      <c r="D303" s="188">
        <f>IF(C303="Inland consumpion (Observed)",SUM(D304,D306,D307,D308),_xlfn.IFERROR(VLOOKUP(CONCATENATE('Table 1'!$K303,".",'Table 1'!$J303),Data!$A$3:$C$330,2,FALSE),0))</f>
        <v>0</v>
      </c>
      <c r="E303" s="193"/>
      <c r="F303" s="176">
        <f t="shared" si="14"/>
      </c>
      <c r="G303" s="186">
        <f>IF(E303&lt;0,"ERROR! Do not enter negative numbers","")</f>
      </c>
      <c r="H303" s="180"/>
      <c r="J303" s="159" t="s">
        <v>674</v>
      </c>
      <c r="K303" s="159" t="s">
        <v>245</v>
      </c>
    </row>
    <row r="304" spans="2:11" ht="12.75" customHeight="1" thickBot="1">
      <c r="B304" s="198"/>
      <c r="C304" s="167" t="s">
        <v>664</v>
      </c>
      <c r="D304" s="190">
        <f>IF(C304="Inland consumpion (Observed)",SUM(D305,D307,D308,D309),_xlfn.IFERROR(VLOOKUP(CONCATENATE('Table 1'!$K304,".",'Table 1'!$J304),Data!$A$3:$C$330,2,FALSE),0))</f>
        <v>0</v>
      </c>
      <c r="E304" s="194"/>
      <c r="F304" s="177">
        <f t="shared" si="14"/>
      </c>
      <c r="G304" s="187">
        <f>IF(E304&lt;0,"ERROR! Do not enter negative numbers","")</f>
      </c>
      <c r="H304" s="181"/>
      <c r="J304" s="160" t="s">
        <v>684</v>
      </c>
      <c r="K304" s="160" t="s">
        <v>245</v>
      </c>
    </row>
    <row r="305" spans="2:11" ht="12.75" customHeight="1">
      <c r="B305" s="196" t="s">
        <v>392</v>
      </c>
      <c r="C305" s="74" t="str">
        <f aca="true" t="shared" si="17" ref="C305:C310">C285</f>
        <v>Indigenous production</v>
      </c>
      <c r="D305" s="169">
        <f>IF(C305="Inland consumpion (Observed)",SUM(D306,D308,D309,D310),_xlfn.IFERROR(VLOOKUP(CONCATENATE('Table 1'!$K305,".",'Table 1'!$J305),Data!$A$3:$C$330,2,FALSE),0))</f>
        <v>0</v>
      </c>
      <c r="E305" s="170"/>
      <c r="F305" s="168">
        <f t="shared" si="14"/>
      </c>
      <c r="G305" s="184">
        <f>IF(E305&lt;0,"ERROR! Do not enter negative numbers","")</f>
      </c>
      <c r="H305" s="178"/>
      <c r="J305" t="s">
        <v>239</v>
      </c>
      <c r="K305" t="s">
        <v>380</v>
      </c>
    </row>
    <row r="306" spans="2:11" ht="12.75" customHeight="1">
      <c r="B306" s="197"/>
      <c r="C306" s="74" t="str">
        <f t="shared" si="17"/>
        <v>From other sources</v>
      </c>
      <c r="D306" s="169">
        <f>IF(C306="Inland consumpion (Observed)",SUM(D307,D309,D310,D311),_xlfn.IFERROR(VLOOKUP(CONCATENATE('Table 1'!$K306,".",'Table 1'!$J306),Data!$A$3:$C$330,2,FALSE),0))</f>
        <v>0</v>
      </c>
      <c r="E306" s="170"/>
      <c r="F306" s="168">
        <f t="shared" si="14"/>
      </c>
      <c r="G306" s="184">
        <f>IF(E306&lt;0,"ERROR! Do not enter negative numbers","")</f>
      </c>
      <c r="H306" s="178"/>
      <c r="J306" t="s">
        <v>240</v>
      </c>
      <c r="K306" t="s">
        <v>380</v>
      </c>
    </row>
    <row r="307" spans="2:11" ht="12.75" customHeight="1">
      <c r="B307" s="197"/>
      <c r="C307" s="74" t="str">
        <f t="shared" si="17"/>
        <v>Total imports (Balance)</v>
      </c>
      <c r="D307" s="169">
        <f>IF(C307="Inland consumpion (Observed)",SUM(D308,D310,D311,D312),_xlfn.IFERROR(VLOOKUP(CONCATENATE('Table 1'!$K307,".",'Table 1'!$J307),Data!$A$3:$C$330,2,FALSE),0))</f>
        <v>0</v>
      </c>
      <c r="E307" s="170"/>
      <c r="F307" s="168">
        <f t="shared" si="14"/>
      </c>
      <c r="G307" s="184">
        <f>IF(ABS(E307-Imports!O$170)&gt;2,"ERROR: Import Total &lt;&gt; country sum ± 2","")</f>
      </c>
      <c r="H307" s="178"/>
      <c r="J307" t="s">
        <v>241</v>
      </c>
      <c r="K307" t="s">
        <v>380</v>
      </c>
    </row>
    <row r="308" spans="2:11" ht="12.75" customHeight="1">
      <c r="B308" s="197"/>
      <c r="C308" s="74" t="str">
        <f t="shared" si="17"/>
        <v>Total exports (Balance)</v>
      </c>
      <c r="D308" s="169">
        <f>IF(C308="Inland consumpion (Observed)",SUM(D309,D311,D312,D313),_xlfn.IFERROR(VLOOKUP(CONCATENATE('Table 1'!$K308,".",'Table 1'!$J308),Data!$A$3:$C$330,2,FALSE),0))</f>
        <v>0</v>
      </c>
      <c r="E308" s="170"/>
      <c r="F308" s="168">
        <f t="shared" si="14"/>
      </c>
      <c r="G308" s="184">
        <f>IF(E308-Exports!O$170&lt;&gt;0,"ERROR: Export Total &lt;&gt; country sum ± 2","")</f>
      </c>
      <c r="H308" s="178"/>
      <c r="J308" t="s">
        <v>242</v>
      </c>
      <c r="K308" t="s">
        <v>380</v>
      </c>
    </row>
    <row r="309" spans="2:11" ht="12.75" customHeight="1">
      <c r="B309" s="197"/>
      <c r="C309" s="74" t="str">
        <f t="shared" si="17"/>
        <v>Stock changes (National territory)</v>
      </c>
      <c r="D309" s="169">
        <f>IF(C309="Inland consumpion (Observed)",SUM(D310,D312,D313,D314),_xlfn.IFERROR(VLOOKUP(CONCATENATE('Table 1'!$K309,".",'Table 1'!$J309),Data!$A$3:$C$330,2,FALSE),0))</f>
        <v>0</v>
      </c>
      <c r="E309" s="170"/>
      <c r="F309" s="168">
        <f t="shared" si="14"/>
      </c>
      <c r="G309" s="184"/>
      <c r="H309" s="178"/>
      <c r="J309" t="s">
        <v>243</v>
      </c>
      <c r="K309" t="s">
        <v>380</v>
      </c>
    </row>
    <row r="310" spans="2:11" ht="12.75" customHeight="1">
      <c r="B310" s="197"/>
      <c r="C310" s="172" t="str">
        <f t="shared" si="17"/>
        <v>Inland consumption (calculated)</v>
      </c>
      <c r="D310" s="173">
        <f>IF(C310="Inland consumpion (Observed)",SUM(D311,D313,D314,D315),_xlfn.IFERROR(VLOOKUP(CONCATENATE('Table 1'!$K310,".",'Table 1'!$J310),Data!$A$3:$C$330,2,FALSE),0))</f>
        <v>0</v>
      </c>
      <c r="E310" s="174">
        <f>E305+E306+E307-E308+E309</f>
        <v>0</v>
      </c>
      <c r="F310" s="175">
        <f t="shared" si="14"/>
      </c>
      <c r="G310" s="185">
        <f>IF(E310=E305+E306+E307-E308+E309,IF(E310&lt;0,"WARNING! Negative consumption!",""),"ERROR! Please recalculate.")</f>
      </c>
      <c r="H310" s="179"/>
      <c r="J310" t="s">
        <v>244</v>
      </c>
      <c r="K310" t="s">
        <v>380</v>
      </c>
    </row>
    <row r="311" spans="2:11" ht="12.75" customHeight="1">
      <c r="B311" s="197"/>
      <c r="C311" s="171" t="s">
        <v>652</v>
      </c>
      <c r="D311" s="188">
        <f>IF(C311="Inland consumpion (Observed)",SUM(D312,D314,D315,D316),_xlfn.IFERROR(VLOOKUP(CONCATENATE('Table 1'!$K311,".",'Table 1'!$J311),Data!$A$3:$C$330,2,FALSE),0))</f>
        <v>0</v>
      </c>
      <c r="E311" s="191">
        <f>E310-E312</f>
        <v>0</v>
      </c>
      <c r="F311" s="176">
        <f t="shared" si="14"/>
      </c>
      <c r="G311" s="186">
        <f>IF(E311&lt;&gt;(E310-E312),"ERROR! STATDIFF does not equal Inland Consumption (Calculated) - Inland Consumption (Observed)","")</f>
      </c>
      <c r="H311" s="180"/>
      <c r="J311" s="158" t="s">
        <v>665</v>
      </c>
      <c r="K311" s="158" t="s">
        <v>380</v>
      </c>
    </row>
    <row r="312" spans="2:11" ht="12.75" customHeight="1">
      <c r="B312" s="197"/>
      <c r="C312" s="162" t="s">
        <v>653</v>
      </c>
      <c r="D312" s="189">
        <f>IF(C312="Inland consumpion (Observed)",SUM(D313,D315,D316,D317),_xlfn.IFERROR(VLOOKUP(CONCATENATE('Table 1'!$K312,".",'Table 1'!$J312),Data!$A$3:$C$330,2,FALSE),0))</f>
        <v>0</v>
      </c>
      <c r="E312" s="192">
        <f>SUM(E313,E315,E316,E317)</f>
        <v>0</v>
      </c>
      <c r="F312" s="176">
        <f t="shared" si="14"/>
      </c>
      <c r="G312" s="186">
        <f>IF(E312&lt;0,"ERROR! Do not enter negative numbers",IF(E312&lt;&gt;SUM(E313,E315,E316,E317),"ERROR: Inland consumption (observed) does not equal Transformation + Energy sector + Distribution losses + TFC",""))</f>
      </c>
      <c r="H312" s="180"/>
      <c r="J312" s="161"/>
      <c r="K312" s="161" t="s">
        <v>380</v>
      </c>
    </row>
    <row r="313" spans="2:11" ht="12.75" customHeight="1">
      <c r="B313" s="197"/>
      <c r="C313" s="163" t="s">
        <v>654</v>
      </c>
      <c r="D313" s="188">
        <f>IF(C313="Inland consumpion (Observed)",SUM(D314,D316,D317,D318),_xlfn.IFERROR(VLOOKUP(CONCATENATE('Table 1'!$K313,".",'Table 1'!$J313),Data!$A$3:$C$330,2,FALSE),0))</f>
        <v>0</v>
      </c>
      <c r="E313" s="193"/>
      <c r="F313" s="176">
        <f t="shared" si="14"/>
      </c>
      <c r="G313" s="186">
        <f>IF(E313&lt;0,"ERROR! Do not enter negative numbers",IF(E313&lt;E314,"ERROR: The subtotal Transformation cannot be less than of which: input to electricity and heat generation",""))</f>
      </c>
      <c r="H313" s="180"/>
      <c r="J313" s="159" t="s">
        <v>666</v>
      </c>
      <c r="K313" s="159" t="s">
        <v>380</v>
      </c>
    </row>
    <row r="314" spans="2:11" ht="12.75" customHeight="1">
      <c r="B314" s="197"/>
      <c r="C314" s="165" t="s">
        <v>683</v>
      </c>
      <c r="D314" s="188">
        <f>IF(C314="Inland consumpion (Observed)",SUM(D315,D317,D318,D319),_xlfn.IFERROR(VLOOKUP(CONCATENATE('Table 1'!$K314,".",'Table 1'!$J314),Data!$A$3:$C$330,2,FALSE),0))</f>
        <v>0</v>
      </c>
      <c r="E314" s="193"/>
      <c r="F314" s="176">
        <f t="shared" si="14"/>
      </c>
      <c r="G314" s="186">
        <f>IF(E314&lt;0,"ERROR! Do not enter negative numbers",IF(E314&gt;E313,"ERROR: This item cannot be higher than the subtotal Transformation",""))</f>
      </c>
      <c r="H314" s="180"/>
      <c r="J314" s="195" t="s">
        <v>682</v>
      </c>
      <c r="K314" s="159" t="s">
        <v>380</v>
      </c>
    </row>
    <row r="315" spans="2:11" ht="12.75" customHeight="1">
      <c r="B315" s="197"/>
      <c r="C315" s="163" t="s">
        <v>655</v>
      </c>
      <c r="D315" s="188">
        <f>IF(C315="Inland consumpion (Observed)",SUM(D316,D318,D319,D320),_xlfn.IFERROR(VLOOKUP(CONCATENATE('Table 1'!$K315,".",'Table 1'!$J315),Data!$A$3:$C$330,2,FALSE),0))</f>
        <v>0</v>
      </c>
      <c r="E315" s="193"/>
      <c r="F315" s="176">
        <f t="shared" si="14"/>
      </c>
      <c r="G315" s="186">
        <f>IF(E315&lt;0,"ERROR! Do not enter negative numbers","")</f>
      </c>
      <c r="H315" s="180"/>
      <c r="J315" s="159" t="s">
        <v>667</v>
      </c>
      <c r="K315" s="159" t="s">
        <v>380</v>
      </c>
    </row>
    <row r="316" spans="2:11" ht="12.75" customHeight="1">
      <c r="B316" s="197"/>
      <c r="C316" s="163" t="s">
        <v>656</v>
      </c>
      <c r="D316" s="188">
        <f>IF(C316="Inland consumpion (Observed)",SUM(D317,D319,D320,D321),_xlfn.IFERROR(VLOOKUP(CONCATENATE('Table 1'!$K316,".",'Table 1'!$J316),Data!$A$3:$C$330,2,FALSE),0))</f>
        <v>0</v>
      </c>
      <c r="E316" s="193"/>
      <c r="F316" s="176">
        <f t="shared" si="14"/>
      </c>
      <c r="G316" s="186">
        <f>IF(E316&lt;0,"ERROR! Do not enter negative numbers","")</f>
      </c>
      <c r="H316" s="180"/>
      <c r="J316" s="159" t="s">
        <v>668</v>
      </c>
      <c r="K316" s="159" t="s">
        <v>380</v>
      </c>
    </row>
    <row r="317" spans="2:11" ht="12.75" customHeight="1">
      <c r="B317" s="197"/>
      <c r="C317" s="163" t="s">
        <v>657</v>
      </c>
      <c r="D317" s="188">
        <f>IF(C317="Inland consumpion (Observed)",SUM(D318,D320,D321,D322),_xlfn.IFERROR(VLOOKUP(CONCATENATE('Table 1'!$K317,".",'Table 1'!$J317),Data!$A$3:$C$330,2,FALSE),0))</f>
        <v>0</v>
      </c>
      <c r="E317" s="191">
        <f>SUM(E318:E319)</f>
        <v>0</v>
      </c>
      <c r="F317" s="176">
        <f t="shared" si="14"/>
      </c>
      <c r="G317" s="186">
        <f>IF(E317&lt;0,"ERROR! Do not enter negative numbers",IF(E317&lt;&gt;SUM(E318:E319),"ERROR: TFC does not equal Total Final Non-Energy Consumption + Total Final Energy Consumption",""))</f>
      </c>
      <c r="H317" s="180"/>
      <c r="J317" s="159" t="s">
        <v>669</v>
      </c>
      <c r="K317" s="159" t="s">
        <v>380</v>
      </c>
    </row>
    <row r="318" spans="2:11" ht="12.75" customHeight="1">
      <c r="B318" s="197"/>
      <c r="C318" s="164" t="s">
        <v>658</v>
      </c>
      <c r="D318" s="188">
        <f>IF(C318="Inland consumpion (Observed)",SUM(D319,D321,D322,D323),_xlfn.IFERROR(VLOOKUP(CONCATENATE('Table 1'!$K318,".",'Table 1'!$J318),Data!$A$3:$C$330,2,FALSE),0))</f>
        <v>0</v>
      </c>
      <c r="E318" s="193"/>
      <c r="F318" s="176">
        <f aca="true" t="shared" si="18" ref="F318:F344">IF(D318=0,IF(E318&lt;&gt;0,"new value",""),IF(ISBLANK(E318),"",E318/D318-1))</f>
      </c>
      <c r="G318" s="186">
        <f>IF(E318&lt;0,"ERROR! Do not enter negative numbers","")</f>
      </c>
      <c r="H318" s="180"/>
      <c r="J318" s="159" t="s">
        <v>670</v>
      </c>
      <c r="K318" s="159" t="s">
        <v>380</v>
      </c>
    </row>
    <row r="319" spans="2:11" ht="12.75" customHeight="1">
      <c r="B319" s="197"/>
      <c r="C319" s="164" t="s">
        <v>659</v>
      </c>
      <c r="D319" s="188">
        <f>IF(C319="Inland consumpion (Observed)",SUM(D320,D322,D323,D324),_xlfn.IFERROR(VLOOKUP(CONCATENATE('Table 1'!$K319,".",'Table 1'!$J319),Data!$A$3:$C$330,2,FALSE),0))</f>
        <v>0</v>
      </c>
      <c r="E319" s="191">
        <f>SUM(E320:E322)</f>
        <v>0</v>
      </c>
      <c r="F319" s="176">
        <f t="shared" si="18"/>
      </c>
      <c r="G319" s="186">
        <f>IF(E319&lt;0,"ERROR! Do not enter negative numbers",IF(E319&lt;&gt;SUM(E320:E322),"ERROR: Total Final Energy Consumption does not equal Industry + Transport + Other sectors",""))</f>
      </c>
      <c r="H319" s="180"/>
      <c r="J319" s="159" t="s">
        <v>671</v>
      </c>
      <c r="K319" s="159" t="s">
        <v>380</v>
      </c>
    </row>
    <row r="320" spans="2:11" ht="12.75" customHeight="1">
      <c r="B320" s="197"/>
      <c r="C320" s="165" t="s">
        <v>660</v>
      </c>
      <c r="D320" s="188">
        <f>IF(C320="Inland consumpion (Observed)",SUM(D321,D323,D324,D325),_xlfn.IFERROR(VLOOKUP(CONCATENATE('Table 1'!$K320,".",'Table 1'!$J320),Data!$A$3:$C$330,2,FALSE),0))</f>
        <v>0</v>
      </c>
      <c r="E320" s="193"/>
      <c r="F320" s="176">
        <f t="shared" si="18"/>
      </c>
      <c r="G320" s="186">
        <f>IF(E320&lt;0,"ERROR! Do not enter negative numbers","")</f>
      </c>
      <c r="H320" s="180"/>
      <c r="J320" s="159" t="s">
        <v>681</v>
      </c>
      <c r="K320" s="159" t="s">
        <v>380</v>
      </c>
    </row>
    <row r="321" spans="2:11" ht="12.75" customHeight="1">
      <c r="B321" s="197"/>
      <c r="C321" s="165" t="s">
        <v>661</v>
      </c>
      <c r="D321" s="188">
        <f>IF(C321="Inland consumpion (Observed)",SUM(D322,D324,D325,D326),_xlfn.IFERROR(VLOOKUP(CONCATENATE('Table 1'!$K321,".",'Table 1'!$J321),Data!$A$3:$C$330,2,FALSE),0))</f>
        <v>0</v>
      </c>
      <c r="E321" s="193"/>
      <c r="F321" s="176">
        <f t="shared" si="18"/>
      </c>
      <c r="G321" s="186">
        <f>IF(E321&lt;0,"ERROR! Do not enter negative numbers","")</f>
      </c>
      <c r="H321" s="180"/>
      <c r="J321" s="159" t="s">
        <v>672</v>
      </c>
      <c r="K321" s="159" t="s">
        <v>380</v>
      </c>
    </row>
    <row r="322" spans="2:11" ht="12.75" customHeight="1">
      <c r="B322" s="197"/>
      <c r="C322" s="165" t="s">
        <v>662</v>
      </c>
      <c r="D322" s="188">
        <f>IF(C322="Inland consumpion (Observed)",SUM(D323,D325,D326,D327),_xlfn.IFERROR(VLOOKUP(CONCATENATE('Table 1'!$K322,".",'Table 1'!$J322),Data!$A$3:$C$330,2,FALSE),0))</f>
        <v>0</v>
      </c>
      <c r="E322" s="193"/>
      <c r="F322" s="176">
        <f t="shared" si="18"/>
      </c>
      <c r="G322" s="186">
        <f>IF(E322&lt;0,"ERROR! Do not enter negative numbers",IF(E322&lt;SUM(E323:E324),"ERROR: The subtotal Other Sectors cannot be less than the sum of Residential + Commercial &amp;  Public services",""))</f>
      </c>
      <c r="H322" s="180"/>
      <c r="J322" s="159" t="s">
        <v>673</v>
      </c>
      <c r="K322" s="159" t="s">
        <v>380</v>
      </c>
    </row>
    <row r="323" spans="2:11" ht="12.75" customHeight="1">
      <c r="B323" s="197"/>
      <c r="C323" s="166" t="s">
        <v>663</v>
      </c>
      <c r="D323" s="188">
        <f>IF(C323="Inland consumpion (Observed)",SUM(D324,D326,D327,D328),_xlfn.IFERROR(VLOOKUP(CONCATENATE('Table 1'!$K323,".",'Table 1'!$J323),Data!$A$3:$C$330,2,FALSE),0))</f>
        <v>0</v>
      </c>
      <c r="E323" s="193"/>
      <c r="F323" s="176">
        <f t="shared" si="18"/>
      </c>
      <c r="G323" s="186">
        <f>IF(E323&lt;0,"ERROR! Do not enter negative numbers","")</f>
      </c>
      <c r="H323" s="180"/>
      <c r="J323" s="159" t="s">
        <v>674</v>
      </c>
      <c r="K323" s="159" t="s">
        <v>380</v>
      </c>
    </row>
    <row r="324" spans="2:11" ht="12.75" customHeight="1" thickBot="1">
      <c r="B324" s="198"/>
      <c r="C324" s="167" t="s">
        <v>664</v>
      </c>
      <c r="D324" s="190">
        <f>IF(C324="Inland consumpion (Observed)",SUM(D325,D327,D328,D329),_xlfn.IFERROR(VLOOKUP(CONCATENATE('Table 1'!$K324,".",'Table 1'!$J324),Data!$A$3:$C$330,2,FALSE),0))</f>
        <v>0</v>
      </c>
      <c r="E324" s="194"/>
      <c r="F324" s="177">
        <f t="shared" si="18"/>
      </c>
      <c r="G324" s="187">
        <f>IF(E324&lt;0,"ERROR! Do not enter negative numbers","")</f>
      </c>
      <c r="H324" s="181"/>
      <c r="J324" s="160" t="s">
        <v>684</v>
      </c>
      <c r="K324" s="160" t="s">
        <v>380</v>
      </c>
    </row>
    <row r="325" spans="2:11" ht="12.75" customHeight="1">
      <c r="B325" s="196" t="s">
        <v>393</v>
      </c>
      <c r="C325" s="74" t="str">
        <f aca="true" t="shared" si="19" ref="C325:C330">C305</f>
        <v>Indigenous production</v>
      </c>
      <c r="D325" s="169">
        <f>IF(C325="Inland consumpion (Observed)",SUM(D326,D328,D329,D330),_xlfn.IFERROR(VLOOKUP(CONCATENATE('Table 1'!$K325,".",'Table 1'!$J325),Data!$A$3:$C$330,2,FALSE),0))</f>
        <v>0</v>
      </c>
      <c r="E325" s="170"/>
      <c r="F325" s="168">
        <f t="shared" si="18"/>
      </c>
      <c r="G325" s="184">
        <f>IF(E325&lt;0,"ERROR! Do not enter negative numbers","")</f>
      </c>
      <c r="H325" s="178"/>
      <c r="J325" t="s">
        <v>239</v>
      </c>
      <c r="K325" t="s">
        <v>394</v>
      </c>
    </row>
    <row r="326" spans="2:11" ht="12.75" customHeight="1">
      <c r="B326" s="197"/>
      <c r="C326" s="74" t="str">
        <f t="shared" si="19"/>
        <v>From other sources</v>
      </c>
      <c r="D326" s="169">
        <f>IF(C326="Inland consumpion (Observed)",SUM(D327,D329,D330,D331),_xlfn.IFERROR(VLOOKUP(CONCATENATE('Table 1'!$K326,".",'Table 1'!$J326),Data!$A$3:$C$330,2,FALSE),0))</f>
        <v>0</v>
      </c>
      <c r="E326" s="170"/>
      <c r="F326" s="168">
        <f t="shared" si="18"/>
      </c>
      <c r="G326" s="184">
        <f>IF(E326&lt;0,"ERROR! Do not enter negative numbers","")</f>
      </c>
      <c r="H326" s="178"/>
      <c r="J326" t="s">
        <v>240</v>
      </c>
      <c r="K326" t="s">
        <v>394</v>
      </c>
    </row>
    <row r="327" spans="2:11" ht="12.75" customHeight="1">
      <c r="B327" s="197"/>
      <c r="C327" s="74" t="str">
        <f t="shared" si="19"/>
        <v>Total imports (Balance)</v>
      </c>
      <c r="D327" s="169">
        <f>IF(C327="Inland consumpion (Observed)",SUM(D328,D330,D331,D332),_xlfn.IFERROR(VLOOKUP(CONCATENATE('Table 1'!$K327,".",'Table 1'!$J327),Data!$A$3:$C$330,2,FALSE),0))</f>
        <v>0</v>
      </c>
      <c r="E327" s="170"/>
      <c r="F327" s="168">
        <f t="shared" si="18"/>
      </c>
      <c r="G327" s="184">
        <f>IF(E327&lt;0,"ERROR! Do not enter negative numbers","")</f>
      </c>
      <c r="H327" s="178"/>
      <c r="J327" t="s">
        <v>241</v>
      </c>
      <c r="K327" t="s">
        <v>394</v>
      </c>
    </row>
    <row r="328" spans="2:11" ht="12.75" customHeight="1">
      <c r="B328" s="197"/>
      <c r="C328" s="74" t="str">
        <f t="shared" si="19"/>
        <v>Total exports (Balance)</v>
      </c>
      <c r="D328" s="169">
        <f>IF(C328="Inland consumpion (Observed)",SUM(D329,D331,D332,D333),_xlfn.IFERROR(VLOOKUP(CONCATENATE('Table 1'!$K328,".",'Table 1'!$J328),Data!$A$3:$C$330,2,FALSE),0))</f>
        <v>0</v>
      </c>
      <c r="E328" s="170"/>
      <c r="F328" s="168">
        <f t="shared" si="18"/>
      </c>
      <c r="G328" s="184"/>
      <c r="H328" s="178"/>
      <c r="J328" t="s">
        <v>242</v>
      </c>
      <c r="K328" t="s">
        <v>394</v>
      </c>
    </row>
    <row r="329" spans="2:11" ht="12.75" customHeight="1">
      <c r="B329" s="197"/>
      <c r="C329" s="74" t="str">
        <f t="shared" si="19"/>
        <v>Stock changes (National territory)</v>
      </c>
      <c r="D329" s="169">
        <f>IF(C329="Inland consumpion (Observed)",SUM(D330,D332,D333,D334),_xlfn.IFERROR(VLOOKUP(CONCATENATE('Table 1'!$K329,".",'Table 1'!$J329),Data!$A$3:$C$330,2,FALSE),0))</f>
        <v>0</v>
      </c>
      <c r="E329" s="170"/>
      <c r="F329" s="168">
        <f t="shared" si="18"/>
      </c>
      <c r="G329" s="184"/>
      <c r="H329" s="178"/>
      <c r="J329" t="s">
        <v>243</v>
      </c>
      <c r="K329" t="s">
        <v>394</v>
      </c>
    </row>
    <row r="330" spans="2:11" ht="12.75" customHeight="1">
      <c r="B330" s="197"/>
      <c r="C330" s="172" t="str">
        <f t="shared" si="19"/>
        <v>Inland consumption (calculated)</v>
      </c>
      <c r="D330" s="173">
        <f>IF(C330="Inland consumpion (Observed)",SUM(D331,D333,D334,D335),_xlfn.IFERROR(VLOOKUP(CONCATENATE('Table 1'!$K330,".",'Table 1'!$J330),Data!$A$3:$C$330,2,FALSE),0))</f>
        <v>0</v>
      </c>
      <c r="E330" s="174">
        <f>E325+E326+E327-E328+E329</f>
        <v>0</v>
      </c>
      <c r="F330" s="175">
        <f t="shared" si="18"/>
      </c>
      <c r="G330" s="185">
        <f>IF(E330=E325+E326+E327-E328+E329,IF(E330&lt;0,"WARNING! Negative consumption!",""),"ERROR! Please recalculate.")</f>
      </c>
      <c r="H330" s="179"/>
      <c r="J330" t="s">
        <v>244</v>
      </c>
      <c r="K330" t="s">
        <v>394</v>
      </c>
    </row>
    <row r="331" spans="2:11" ht="12.75" customHeight="1">
      <c r="B331" s="197"/>
      <c r="C331" s="171" t="s">
        <v>652</v>
      </c>
      <c r="D331" s="188">
        <f>IF(C331="Inland consumpion (Observed)",SUM(D332,D334,D335,D336),_xlfn.IFERROR(VLOOKUP(CONCATENATE('Table 1'!$K331,".",'Table 1'!$J331),Data!$A$3:$C$330,2,FALSE),0))</f>
        <v>0</v>
      </c>
      <c r="E331" s="191">
        <f>E330-E332</f>
        <v>0</v>
      </c>
      <c r="F331" s="176">
        <f t="shared" si="18"/>
      </c>
      <c r="G331" s="186">
        <f>IF(E331&lt;&gt;(E330-E332),"ERROR! STATDIFF does not equal Inland Consumption (Calculated) - Inland Consumption (Observed)","")</f>
      </c>
      <c r="H331" s="180"/>
      <c r="J331" s="158" t="s">
        <v>665</v>
      </c>
      <c r="K331" s="158" t="s">
        <v>394</v>
      </c>
    </row>
    <row r="332" spans="2:11" ht="12.75" customHeight="1">
      <c r="B332" s="197"/>
      <c r="C332" s="162" t="s">
        <v>653</v>
      </c>
      <c r="D332" s="189">
        <f>IF(C332="Inland consumpion (Observed)",SUM(D333,D335,D336,D337),_xlfn.IFERROR(VLOOKUP(CONCATENATE('Table 1'!$K332,".",'Table 1'!$J332),Data!$A$3:$C$330,2,FALSE),0))</f>
        <v>0</v>
      </c>
      <c r="E332" s="192">
        <f>SUM(E333,E335,E336,E337)</f>
        <v>0</v>
      </c>
      <c r="F332" s="176">
        <f t="shared" si="18"/>
      </c>
      <c r="G332" s="186">
        <f>IF(E332&lt;0,"ERROR! Do not enter negative numbers",IF(E332&lt;&gt;SUM(E333,E335,E336,E337),"ERROR: Inland consumption (observed) does not equal Transformation + Energy sector + Distribution losses + TFC",""))</f>
      </c>
      <c r="H332" s="180"/>
      <c r="J332" s="161"/>
      <c r="K332" s="161" t="s">
        <v>394</v>
      </c>
    </row>
    <row r="333" spans="2:11" ht="12.75" customHeight="1">
      <c r="B333" s="197"/>
      <c r="C333" s="163" t="s">
        <v>654</v>
      </c>
      <c r="D333" s="188">
        <f>IF(C333="Inland consumpion (Observed)",SUM(D334,D336,D337,D338),_xlfn.IFERROR(VLOOKUP(CONCATENATE('Table 1'!$K333,".",'Table 1'!$J333),Data!$A$3:$C$330,2,FALSE),0))</f>
        <v>0</v>
      </c>
      <c r="E333" s="193"/>
      <c r="F333" s="176">
        <f t="shared" si="18"/>
      </c>
      <c r="G333" s="186">
        <f>IF(E333&lt;0,"ERROR! Do not enter negative numbers",IF(E333&lt;E334,"ERROR: The subtotal Transformation cannot be less than of which: input to electricity and heat generation",""))</f>
      </c>
      <c r="H333" s="180"/>
      <c r="J333" s="159" t="s">
        <v>666</v>
      </c>
      <c r="K333" s="159" t="s">
        <v>394</v>
      </c>
    </row>
    <row r="334" spans="2:11" ht="12.75" customHeight="1">
      <c r="B334" s="197"/>
      <c r="C334" s="165" t="s">
        <v>683</v>
      </c>
      <c r="D334" s="188">
        <f>IF(C334="Inland consumpion (Observed)",SUM(D335,D337,D338,D339),_xlfn.IFERROR(VLOOKUP(CONCATENATE('Table 1'!$K334,".",'Table 1'!$J334),Data!$A$3:$C$330,2,FALSE),0))</f>
        <v>0</v>
      </c>
      <c r="E334" s="193"/>
      <c r="F334" s="176">
        <f t="shared" si="18"/>
      </c>
      <c r="G334" s="186">
        <f>IF(E334&lt;0,"ERROR! Do not enter negative numbers",IF(E334&gt;E333,"ERROR: This item cannot be higher than the subtotal Transformation",""))</f>
      </c>
      <c r="H334" s="180"/>
      <c r="J334" s="195" t="s">
        <v>682</v>
      </c>
      <c r="K334" s="159" t="s">
        <v>394</v>
      </c>
    </row>
    <row r="335" spans="2:11" ht="12.75" customHeight="1">
      <c r="B335" s="197"/>
      <c r="C335" s="163" t="s">
        <v>655</v>
      </c>
      <c r="D335" s="188">
        <f>IF(C335="Inland consumpion (Observed)",SUM(D336,D338,D339,D340),_xlfn.IFERROR(VLOOKUP(CONCATENATE('Table 1'!$K335,".",'Table 1'!$J335),Data!$A$3:$C$330,2,FALSE),0))</f>
        <v>0</v>
      </c>
      <c r="E335" s="193"/>
      <c r="F335" s="176">
        <f t="shared" si="18"/>
      </c>
      <c r="G335" s="186">
        <f>IF(E335&lt;0,"ERROR! Do not enter negative numbers","")</f>
      </c>
      <c r="H335" s="180"/>
      <c r="J335" s="159" t="s">
        <v>667</v>
      </c>
      <c r="K335" s="159" t="s">
        <v>394</v>
      </c>
    </row>
    <row r="336" spans="2:11" ht="12.75" customHeight="1">
      <c r="B336" s="197"/>
      <c r="C336" s="163" t="s">
        <v>656</v>
      </c>
      <c r="D336" s="188">
        <f>IF(C336="Inland consumpion (Observed)",SUM(D337,D339,D340,D341),_xlfn.IFERROR(VLOOKUP(CONCATENATE('Table 1'!$K336,".",'Table 1'!$J336),Data!$A$3:$C$330,2,FALSE),0))</f>
        <v>0</v>
      </c>
      <c r="E336" s="193"/>
      <c r="F336" s="176">
        <f t="shared" si="18"/>
      </c>
      <c r="G336" s="186">
        <f>IF(E336&lt;0,"ERROR! Do not enter negative numbers","")</f>
      </c>
      <c r="H336" s="180"/>
      <c r="J336" s="159" t="s">
        <v>668</v>
      </c>
      <c r="K336" s="159" t="s">
        <v>394</v>
      </c>
    </row>
    <row r="337" spans="2:11" ht="12.75" customHeight="1">
      <c r="B337" s="197"/>
      <c r="C337" s="163" t="s">
        <v>657</v>
      </c>
      <c r="D337" s="188">
        <f>IF(C337="Inland consumpion (Observed)",SUM(D338,D340,D341,D342),_xlfn.IFERROR(VLOOKUP(CONCATENATE('Table 1'!$K337,".",'Table 1'!$J337),Data!$A$3:$C$330,2,FALSE),0))</f>
        <v>0</v>
      </c>
      <c r="E337" s="191">
        <f>SUM(E338:E339)</f>
        <v>0</v>
      </c>
      <c r="F337" s="176">
        <f t="shared" si="18"/>
      </c>
      <c r="G337" s="186">
        <f>IF(E337&lt;0,"ERROR! Do not enter negative numbers",IF(E337&lt;&gt;SUM(E338:E339),"ERROR: TFC does not equal Total Final Non-Energy Consumption + Total Final Energy Consumption",""))</f>
      </c>
      <c r="H337" s="180"/>
      <c r="J337" s="159" t="s">
        <v>669</v>
      </c>
      <c r="K337" s="159" t="s">
        <v>394</v>
      </c>
    </row>
    <row r="338" spans="2:11" ht="12.75" customHeight="1">
      <c r="B338" s="197"/>
      <c r="C338" s="164" t="s">
        <v>658</v>
      </c>
      <c r="D338" s="188">
        <f>IF(C338="Inland consumpion (Observed)",SUM(D339,D341,D342,D343),_xlfn.IFERROR(VLOOKUP(CONCATENATE('Table 1'!$K338,".",'Table 1'!$J338),Data!$A$3:$C$330,2,FALSE),0))</f>
        <v>0</v>
      </c>
      <c r="E338" s="193"/>
      <c r="F338" s="176">
        <f t="shared" si="18"/>
      </c>
      <c r="G338" s="186">
        <f>IF(E338&lt;0,"ERROR! Do not enter negative numbers","")</f>
      </c>
      <c r="H338" s="180"/>
      <c r="J338" s="159" t="s">
        <v>670</v>
      </c>
      <c r="K338" s="159" t="s">
        <v>394</v>
      </c>
    </row>
    <row r="339" spans="2:11" ht="12.75" customHeight="1">
      <c r="B339" s="197"/>
      <c r="C339" s="164" t="s">
        <v>659</v>
      </c>
      <c r="D339" s="188">
        <f>IF(C339="Inland consumpion (Observed)",SUM(D340,D342,D343,D344),_xlfn.IFERROR(VLOOKUP(CONCATENATE('Table 1'!$K339,".",'Table 1'!$J339),Data!$A$3:$C$330,2,FALSE),0))</f>
        <v>0</v>
      </c>
      <c r="E339" s="191">
        <f>SUM(E340:E342)</f>
        <v>0</v>
      </c>
      <c r="F339" s="176">
        <f t="shared" si="18"/>
      </c>
      <c r="G339" s="186">
        <f>IF(E339&lt;0,"ERROR! Do not enter negative numbers",IF(E339&lt;&gt;SUM(E340:E342),"ERROR: Total Final Energy Consumption does not equal Industry + Transport + Other sectors",""))</f>
      </c>
      <c r="H339" s="180"/>
      <c r="J339" s="159" t="s">
        <v>671</v>
      </c>
      <c r="K339" s="159" t="s">
        <v>394</v>
      </c>
    </row>
    <row r="340" spans="2:11" ht="12.75" customHeight="1">
      <c r="B340" s="197"/>
      <c r="C340" s="165" t="s">
        <v>660</v>
      </c>
      <c r="D340" s="188">
        <f>IF(C340="Inland consumpion (Observed)",SUM(D341,D343,D344,D345),_xlfn.IFERROR(VLOOKUP(CONCATENATE('Table 1'!$K340,".",'Table 1'!$J340),Data!$A$3:$C$330,2,FALSE),0))</f>
        <v>0</v>
      </c>
      <c r="E340" s="193"/>
      <c r="F340" s="176">
        <f t="shared" si="18"/>
      </c>
      <c r="G340" s="186">
        <f>IF(E340&lt;0,"ERROR! Do not enter negative numbers","")</f>
      </c>
      <c r="H340" s="180"/>
      <c r="J340" s="159" t="s">
        <v>681</v>
      </c>
      <c r="K340" s="159" t="s">
        <v>394</v>
      </c>
    </row>
    <row r="341" spans="2:11" ht="12.75" customHeight="1">
      <c r="B341" s="197"/>
      <c r="C341" s="165" t="s">
        <v>661</v>
      </c>
      <c r="D341" s="188">
        <f>IF(C341="Inland consumpion (Observed)",SUM(D342,D344,D345,D346),_xlfn.IFERROR(VLOOKUP(CONCATENATE('Table 1'!$K341,".",'Table 1'!$J341),Data!$A$3:$C$330,2,FALSE),0))</f>
        <v>0</v>
      </c>
      <c r="E341" s="193"/>
      <c r="F341" s="176">
        <f t="shared" si="18"/>
      </c>
      <c r="G341" s="186">
        <f>IF(E341&lt;0,"ERROR! Do not enter negative numbers","")</f>
      </c>
      <c r="H341" s="180"/>
      <c r="J341" s="159" t="s">
        <v>672</v>
      </c>
      <c r="K341" s="159" t="s">
        <v>394</v>
      </c>
    </row>
    <row r="342" spans="2:11" ht="12.75" customHeight="1">
      <c r="B342" s="197"/>
      <c r="C342" s="165" t="s">
        <v>662</v>
      </c>
      <c r="D342" s="188">
        <f>IF(C342="Inland consumpion (Observed)",SUM(D343,D345,D346,D347),_xlfn.IFERROR(VLOOKUP(CONCATENATE('Table 1'!$K342,".",'Table 1'!$J342),Data!$A$3:$C$330,2,FALSE),0))</f>
        <v>0</v>
      </c>
      <c r="E342" s="193"/>
      <c r="F342" s="176">
        <f t="shared" si="18"/>
      </c>
      <c r="G342" s="186">
        <f>IF(E342&lt;0,"ERROR! Do not enter negative numbers",IF(E342&lt;SUM(E343:E344),"ERROR: The subtotal Other Sectors cannot be less than the sum of Residential + Commercial &amp;  Public services",""))</f>
      </c>
      <c r="H342" s="180"/>
      <c r="J342" s="159" t="s">
        <v>673</v>
      </c>
      <c r="K342" s="159" t="s">
        <v>394</v>
      </c>
    </row>
    <row r="343" spans="2:11" ht="12.75" customHeight="1">
      <c r="B343" s="197"/>
      <c r="C343" s="166" t="s">
        <v>663</v>
      </c>
      <c r="D343" s="188">
        <f>IF(C343="Inland consumpion (Observed)",SUM(D344,D346,D347,D348),_xlfn.IFERROR(VLOOKUP(CONCATENATE('Table 1'!$K343,".",'Table 1'!$J343),Data!$A$3:$C$330,2,FALSE),0))</f>
        <v>0</v>
      </c>
      <c r="E343" s="193"/>
      <c r="F343" s="176">
        <f t="shared" si="18"/>
      </c>
      <c r="G343" s="186">
        <f>IF(E343&lt;0,"ERROR! Do not enter negative numbers","")</f>
      </c>
      <c r="H343" s="180"/>
      <c r="J343" s="159" t="s">
        <v>674</v>
      </c>
      <c r="K343" s="159" t="s">
        <v>394</v>
      </c>
    </row>
    <row r="344" spans="2:11" ht="12.75" customHeight="1" thickBot="1">
      <c r="B344" s="198"/>
      <c r="C344" s="167" t="s">
        <v>664</v>
      </c>
      <c r="D344" s="190">
        <f>IF(C344="Inland consumpion (Observed)",SUM(D345,D347,D348,D349),_xlfn.IFERROR(VLOOKUP(CONCATENATE('Table 1'!$K344,".",'Table 1'!$J344),Data!$A$3:$C$330,2,FALSE),0))</f>
        <v>0</v>
      </c>
      <c r="E344" s="194"/>
      <c r="F344" s="177">
        <f t="shared" si="18"/>
      </c>
      <c r="G344" s="187">
        <f>IF(E344&lt;0,"ERROR! Do not enter negative numbers","")</f>
      </c>
      <c r="H344" s="181"/>
      <c r="J344" s="160" t="s">
        <v>684</v>
      </c>
      <c r="K344" s="160" t="s">
        <v>394</v>
      </c>
    </row>
  </sheetData>
  <sheetProtection/>
  <mergeCells count="20">
    <mergeCell ref="B305:B324"/>
    <mergeCell ref="B3:H3"/>
    <mergeCell ref="B1:H1"/>
    <mergeCell ref="B2:H2"/>
    <mergeCell ref="B185:B204"/>
    <mergeCell ref="B205:B224"/>
    <mergeCell ref="B225:B244"/>
    <mergeCell ref="B245:B264"/>
    <mergeCell ref="B265:B284"/>
    <mergeCell ref="B285:B304"/>
    <mergeCell ref="B325:B344"/>
    <mergeCell ref="B5:B24"/>
    <mergeCell ref="B25:B44"/>
    <mergeCell ref="B45:B64"/>
    <mergeCell ref="B65:B84"/>
    <mergeCell ref="B85:B104"/>
    <mergeCell ref="B105:B124"/>
    <mergeCell ref="B125:B144"/>
    <mergeCell ref="B145:B164"/>
    <mergeCell ref="B165:B184"/>
  </mergeCells>
  <conditionalFormatting sqref="E5:E8">
    <cfRule type="cellIs" priority="99" dxfId="4" operator="notEqual" stopIfTrue="1">
      <formula>I5</formula>
    </cfRule>
  </conditionalFormatting>
  <conditionalFormatting sqref="F5:F10">
    <cfRule type="cellIs" priority="97" dxfId="21" operator="equal" stopIfTrue="1">
      <formula>-1</formula>
    </cfRule>
    <cfRule type="notContainsBlanks" priority="98" dxfId="20" stopIfTrue="1">
      <formula>LEN(TRIM(F5))&gt;0</formula>
    </cfRule>
  </conditionalFormatting>
  <conditionalFormatting sqref="E11:E24">
    <cfRule type="cellIs" priority="96" dxfId="4" operator="notEqual" stopIfTrue="1">
      <formula>I11</formula>
    </cfRule>
  </conditionalFormatting>
  <conditionalFormatting sqref="F11:F24">
    <cfRule type="cellIs" priority="94" dxfId="21" operator="equal" stopIfTrue="1">
      <formula>-1</formula>
    </cfRule>
    <cfRule type="notContainsBlanks" priority="95" dxfId="20" stopIfTrue="1">
      <formula>LEN(TRIM(F11))&gt;0</formula>
    </cfRule>
  </conditionalFormatting>
  <conditionalFormatting sqref="E9:E10">
    <cfRule type="cellIs" priority="93" dxfId="4" operator="notEqual" stopIfTrue="1">
      <formula>I9</formula>
    </cfRule>
  </conditionalFormatting>
  <conditionalFormatting sqref="E25:E28 E45:E48 E65:E68 E85:E88 E105:E108 E125:E128 E145:E148 E165:E168 E185:E188 E205:E208 E225:E228 E245:E248 E265:E268 E285:E288 E305:E308 E325:E328">
    <cfRule type="cellIs" priority="91" dxfId="4" operator="notEqual" stopIfTrue="1">
      <formula>I25</formula>
    </cfRule>
  </conditionalFormatting>
  <conditionalFormatting sqref="E31 E51 E71 E91 E111 E131 E151 E171 E191 E211 E231 E251 E271 E291 E311 E331 E35:E44 E55:E64 E75:E84 E95:E104 E115:E124 E135:E144 E155:E164 E175:E184 E195:E204 E215:E224 E235:E244 E255:E264 E275:E284 E295:E304 E315:E324 E335:E344 E33 E53 E73 E93 E113 E133 E153 E173 E193 E213 E233 E253 E273 E293 E313 E333">
    <cfRule type="cellIs" priority="88" dxfId="4" operator="notEqual" stopIfTrue="1">
      <formula>I31</formula>
    </cfRule>
  </conditionalFormatting>
  <conditionalFormatting sqref="E29 E49 E69 E89 E109 E129 E149 E169 E189 E209 E229 E249 E269 E289 E309 E329">
    <cfRule type="cellIs" priority="85" dxfId="4" operator="notEqual" stopIfTrue="1">
      <formula>I29</formula>
    </cfRule>
  </conditionalFormatting>
  <conditionalFormatting sqref="E34">
    <cfRule type="cellIs" priority="84" dxfId="4" operator="notEqual" stopIfTrue="1">
      <formula>I34</formula>
    </cfRule>
  </conditionalFormatting>
  <conditionalFormatting sqref="E54">
    <cfRule type="cellIs" priority="81" dxfId="4" operator="notEqual" stopIfTrue="1">
      <formula>I54</formula>
    </cfRule>
  </conditionalFormatting>
  <conditionalFormatting sqref="E74">
    <cfRule type="cellIs" priority="78" dxfId="4" operator="notEqual" stopIfTrue="1">
      <formula>I74</formula>
    </cfRule>
  </conditionalFormatting>
  <conditionalFormatting sqref="E94">
    <cfRule type="cellIs" priority="75" dxfId="4" operator="notEqual" stopIfTrue="1">
      <formula>I94</formula>
    </cfRule>
  </conditionalFormatting>
  <conditionalFormatting sqref="E114">
    <cfRule type="cellIs" priority="72" dxfId="4" operator="notEqual" stopIfTrue="1">
      <formula>I114</formula>
    </cfRule>
  </conditionalFormatting>
  <conditionalFormatting sqref="E134">
    <cfRule type="cellIs" priority="69" dxfId="4" operator="notEqual" stopIfTrue="1">
      <formula>I134</formula>
    </cfRule>
  </conditionalFormatting>
  <conditionalFormatting sqref="E154">
    <cfRule type="cellIs" priority="66" dxfId="4" operator="notEqual" stopIfTrue="1">
      <formula>I154</formula>
    </cfRule>
  </conditionalFormatting>
  <conditionalFormatting sqref="E174">
    <cfRule type="cellIs" priority="63" dxfId="4" operator="notEqual" stopIfTrue="1">
      <formula>I174</formula>
    </cfRule>
  </conditionalFormatting>
  <conditionalFormatting sqref="E194">
    <cfRule type="cellIs" priority="60" dxfId="4" operator="notEqual" stopIfTrue="1">
      <formula>I194</formula>
    </cfRule>
  </conditionalFormatting>
  <conditionalFormatting sqref="E214">
    <cfRule type="cellIs" priority="57" dxfId="4" operator="notEqual" stopIfTrue="1">
      <formula>I214</formula>
    </cfRule>
  </conditionalFormatting>
  <conditionalFormatting sqref="E234">
    <cfRule type="cellIs" priority="54" dxfId="4" operator="notEqual" stopIfTrue="1">
      <formula>I234</formula>
    </cfRule>
  </conditionalFormatting>
  <conditionalFormatting sqref="E254">
    <cfRule type="cellIs" priority="51" dxfId="4" operator="notEqual" stopIfTrue="1">
      <formula>I254</formula>
    </cfRule>
  </conditionalFormatting>
  <conditionalFormatting sqref="E274">
    <cfRule type="cellIs" priority="48" dxfId="4" operator="notEqual" stopIfTrue="1">
      <formula>I274</formula>
    </cfRule>
  </conditionalFormatting>
  <conditionalFormatting sqref="E294">
    <cfRule type="cellIs" priority="45" dxfId="4" operator="notEqual" stopIfTrue="1">
      <formula>I294</formula>
    </cfRule>
  </conditionalFormatting>
  <conditionalFormatting sqref="E314">
    <cfRule type="cellIs" priority="42" dxfId="4" operator="notEqual" stopIfTrue="1">
      <formula>I314</formula>
    </cfRule>
  </conditionalFormatting>
  <conditionalFormatting sqref="E334">
    <cfRule type="cellIs" priority="39" dxfId="4" operator="notEqual" stopIfTrue="1">
      <formula>I334</formula>
    </cfRule>
  </conditionalFormatting>
  <conditionalFormatting sqref="E32">
    <cfRule type="cellIs" priority="36" dxfId="4" operator="notEqual" stopIfTrue="1">
      <formula>I32</formula>
    </cfRule>
  </conditionalFormatting>
  <conditionalFormatting sqref="E52">
    <cfRule type="cellIs" priority="35" dxfId="4" operator="notEqual" stopIfTrue="1">
      <formula>I52</formula>
    </cfRule>
  </conditionalFormatting>
  <conditionalFormatting sqref="E72">
    <cfRule type="cellIs" priority="34" dxfId="4" operator="notEqual" stopIfTrue="1">
      <formula>I72</formula>
    </cfRule>
  </conditionalFormatting>
  <conditionalFormatting sqref="E92">
    <cfRule type="cellIs" priority="33" dxfId="4" operator="notEqual" stopIfTrue="1">
      <formula>I92</formula>
    </cfRule>
  </conditionalFormatting>
  <conditionalFormatting sqref="E112">
    <cfRule type="cellIs" priority="32" dxfId="4" operator="notEqual" stopIfTrue="1">
      <formula>I112</formula>
    </cfRule>
  </conditionalFormatting>
  <conditionalFormatting sqref="E132">
    <cfRule type="cellIs" priority="31" dxfId="4" operator="notEqual" stopIfTrue="1">
      <formula>I132</formula>
    </cfRule>
  </conditionalFormatting>
  <conditionalFormatting sqref="E152">
    <cfRule type="cellIs" priority="30" dxfId="4" operator="notEqual" stopIfTrue="1">
      <formula>I152</formula>
    </cfRule>
  </conditionalFormatting>
  <conditionalFormatting sqref="E172">
    <cfRule type="cellIs" priority="29" dxfId="4" operator="notEqual" stopIfTrue="1">
      <formula>I172</formula>
    </cfRule>
  </conditionalFormatting>
  <conditionalFormatting sqref="E192">
    <cfRule type="cellIs" priority="28" dxfId="4" operator="notEqual" stopIfTrue="1">
      <formula>I192</formula>
    </cfRule>
  </conditionalFormatting>
  <conditionalFormatting sqref="E212">
    <cfRule type="cellIs" priority="27" dxfId="4" operator="notEqual" stopIfTrue="1">
      <formula>I212</formula>
    </cfRule>
  </conditionalFormatting>
  <conditionalFormatting sqref="E232">
    <cfRule type="cellIs" priority="26" dxfId="4" operator="notEqual" stopIfTrue="1">
      <formula>I232</formula>
    </cfRule>
  </conditionalFormatting>
  <conditionalFormatting sqref="E252">
    <cfRule type="cellIs" priority="25" dxfId="4" operator="notEqual" stopIfTrue="1">
      <formula>I252</formula>
    </cfRule>
  </conditionalFormatting>
  <conditionalFormatting sqref="E272">
    <cfRule type="cellIs" priority="24" dxfId="4" operator="notEqual" stopIfTrue="1">
      <formula>I272</formula>
    </cfRule>
  </conditionalFormatting>
  <conditionalFormatting sqref="E292">
    <cfRule type="cellIs" priority="23" dxfId="4" operator="notEqual" stopIfTrue="1">
      <formula>I292</formula>
    </cfRule>
  </conditionalFormatting>
  <conditionalFormatting sqref="E312">
    <cfRule type="cellIs" priority="22" dxfId="4" operator="notEqual" stopIfTrue="1">
      <formula>I312</formula>
    </cfRule>
  </conditionalFormatting>
  <conditionalFormatting sqref="E332">
    <cfRule type="cellIs" priority="21" dxfId="4" operator="notEqual" stopIfTrue="1">
      <formula>I332</formula>
    </cfRule>
  </conditionalFormatting>
  <conditionalFormatting sqref="F25:F30 F45:F50 F65:F70 F85:F90 F105:F110 F125:F130 F145:F150 F165:F170 F185:F190 F205:F210 F225:F230 F245:F250 F265:F270 F285:F290 F305:F310 F325:F330">
    <cfRule type="cellIs" priority="19" dxfId="21" operator="equal" stopIfTrue="1">
      <formula>-1</formula>
    </cfRule>
    <cfRule type="notContainsBlanks" priority="20" dxfId="20" stopIfTrue="1">
      <formula>LEN(TRIM(F25))&gt;0</formula>
    </cfRule>
  </conditionalFormatting>
  <conditionalFormatting sqref="F31:F44 F51:F64 F71:F84 F91:F104 F111:F124 F131:F144 F151:F164 F171:F184 F191:F204 F211:F224 F231:F244 F251:F264 F271:F284 F291:F304 F311:F324 F331:F344">
    <cfRule type="cellIs" priority="17" dxfId="21" operator="equal" stopIfTrue="1">
      <formula>-1</formula>
    </cfRule>
    <cfRule type="notContainsBlanks" priority="18" dxfId="20" stopIfTrue="1">
      <formula>LEN(TRIM(F31))&gt;0</formula>
    </cfRule>
  </conditionalFormatting>
  <conditionalFormatting sqref="E30">
    <cfRule type="cellIs" priority="16" dxfId="4" operator="notEqual" stopIfTrue="1">
      <formula>I30</formula>
    </cfRule>
  </conditionalFormatting>
  <conditionalFormatting sqref="E50">
    <cfRule type="cellIs" priority="15" dxfId="4" operator="notEqual" stopIfTrue="1">
      <formula>I50</formula>
    </cfRule>
  </conditionalFormatting>
  <conditionalFormatting sqref="E70">
    <cfRule type="cellIs" priority="14" dxfId="4" operator="notEqual" stopIfTrue="1">
      <formula>I70</formula>
    </cfRule>
  </conditionalFormatting>
  <conditionalFormatting sqref="E90">
    <cfRule type="cellIs" priority="13" dxfId="4" operator="notEqual" stopIfTrue="1">
      <formula>I90</formula>
    </cfRule>
  </conditionalFormatting>
  <conditionalFormatting sqref="E110">
    <cfRule type="cellIs" priority="12" dxfId="4" operator="notEqual" stopIfTrue="1">
      <formula>I110</formula>
    </cfRule>
  </conditionalFormatting>
  <conditionalFormatting sqref="E130">
    <cfRule type="cellIs" priority="11" dxfId="4" operator="notEqual" stopIfTrue="1">
      <formula>I130</formula>
    </cfRule>
  </conditionalFormatting>
  <conditionalFormatting sqref="E150">
    <cfRule type="cellIs" priority="10" dxfId="4" operator="notEqual" stopIfTrue="1">
      <formula>I150</formula>
    </cfRule>
  </conditionalFormatting>
  <conditionalFormatting sqref="E170">
    <cfRule type="cellIs" priority="9" dxfId="4" operator="notEqual" stopIfTrue="1">
      <formula>I170</formula>
    </cfRule>
  </conditionalFormatting>
  <conditionalFormatting sqref="E190">
    <cfRule type="cellIs" priority="8" dxfId="4" operator="notEqual" stopIfTrue="1">
      <formula>I190</formula>
    </cfRule>
  </conditionalFormatting>
  <conditionalFormatting sqref="E210">
    <cfRule type="cellIs" priority="7" dxfId="4" operator="notEqual" stopIfTrue="1">
      <formula>I210</formula>
    </cfRule>
  </conditionalFormatting>
  <conditionalFormatting sqref="E230">
    <cfRule type="cellIs" priority="6" dxfId="4" operator="notEqual" stopIfTrue="1">
      <formula>I230</formula>
    </cfRule>
  </conditionalFormatting>
  <conditionalFormatting sqref="E250">
    <cfRule type="cellIs" priority="5" dxfId="4" operator="notEqual" stopIfTrue="1">
      <formula>I250</formula>
    </cfRule>
  </conditionalFormatting>
  <conditionalFormatting sqref="E270">
    <cfRule type="cellIs" priority="4" dxfId="4" operator="notEqual" stopIfTrue="1">
      <formula>I270</formula>
    </cfRule>
  </conditionalFormatting>
  <conditionalFormatting sqref="E290">
    <cfRule type="cellIs" priority="3" dxfId="4" operator="notEqual" stopIfTrue="1">
      <formula>I290</formula>
    </cfRule>
  </conditionalFormatting>
  <conditionalFormatting sqref="E310">
    <cfRule type="cellIs" priority="2" dxfId="4" operator="notEqual" stopIfTrue="1">
      <formula>I310</formula>
    </cfRule>
  </conditionalFormatting>
  <conditionalFormatting sqref="E330">
    <cfRule type="cellIs" priority="1" dxfId="4" operator="notEqual" stopIfTrue="1">
      <formula>I330</formula>
    </cfRule>
  </conditionalFormatting>
  <printOptions/>
  <pageMargins left="0.5511811023622047" right="0.5511811023622047" top="1.1811023622047245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&amp;LInternational Energy Agency&amp;CEnergy Statistics Division&amp;RAnnual Coal Mini Questionnaire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3">
    <pageSetUpPr fitToPage="1"/>
  </sheetPr>
  <dimension ref="A1:W174"/>
  <sheetViews>
    <sheetView showGridLines="0" zoomScale="80" zoomScaleNormal="80" zoomScalePageLayoutView="0" workbookViewId="0" topLeftCell="A1">
      <pane xSplit="4" ySplit="5" topLeftCell="E189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H207" sqref="H207"/>
    </sheetView>
  </sheetViews>
  <sheetFormatPr defaultColWidth="9.140625" defaultRowHeight="12.75"/>
  <cols>
    <col min="1" max="2" width="1.7109375" style="24" customWidth="1"/>
    <col min="3" max="3" width="34.140625" style="24" customWidth="1"/>
    <col min="4" max="4" width="4.57421875" style="25" customWidth="1"/>
    <col min="5" max="15" width="11.421875" style="24" customWidth="1"/>
    <col min="16" max="17" width="9.140625" style="24" customWidth="1"/>
    <col min="18" max="18" width="10.57421875" style="24" customWidth="1"/>
    <col min="19" max="19" width="10.57421875" style="77" customWidth="1"/>
    <col min="20" max="20" width="13.140625" style="24" customWidth="1"/>
    <col min="21" max="21" width="10.57421875" style="24" customWidth="1"/>
    <col min="22" max="22" width="9.140625" style="24" customWidth="1"/>
    <col min="23" max="23" width="8.7109375" style="0" customWidth="1"/>
    <col min="24" max="16384" width="9.140625" style="24" customWidth="1"/>
  </cols>
  <sheetData>
    <row r="1" spans="2:20" ht="25.5" customHeight="1">
      <c r="B1" s="27"/>
      <c r="C1" s="28" t="str">
        <f>Data!B1</f>
        <v>Australia</v>
      </c>
      <c r="D1" s="29"/>
      <c r="E1" s="202" t="s">
        <v>89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T1" s="73" t="s">
        <v>235</v>
      </c>
    </row>
    <row r="2" spans="3:20" ht="12.75">
      <c r="C2" s="31"/>
      <c r="D2" s="32"/>
      <c r="E2" s="33" t="s">
        <v>150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151</v>
      </c>
      <c r="K2" s="33" t="s">
        <v>9</v>
      </c>
      <c r="L2" s="33" t="s">
        <v>152</v>
      </c>
      <c r="M2" s="33" t="s">
        <v>153</v>
      </c>
      <c r="N2" s="128" t="s">
        <v>381</v>
      </c>
      <c r="O2" s="33" t="s">
        <v>380</v>
      </c>
      <c r="T2" s="72" t="s">
        <v>184</v>
      </c>
    </row>
    <row r="3" spans="3:15" ht="52.5">
      <c r="C3" s="30" t="str">
        <f>NOTES!C6</f>
        <v>2021p</v>
      </c>
      <c r="D3" s="32"/>
      <c r="E3" s="34" t="s">
        <v>149</v>
      </c>
      <c r="F3" s="34" t="s">
        <v>367</v>
      </c>
      <c r="G3" s="34" t="s">
        <v>368</v>
      </c>
      <c r="H3" s="34" t="s">
        <v>369</v>
      </c>
      <c r="I3" s="26" t="s">
        <v>386</v>
      </c>
      <c r="J3" s="26" t="s">
        <v>370</v>
      </c>
      <c r="K3" s="34" t="s">
        <v>371</v>
      </c>
      <c r="L3" s="34" t="s">
        <v>372</v>
      </c>
      <c r="M3" s="34" t="s">
        <v>387</v>
      </c>
      <c r="N3" s="34" t="s">
        <v>382</v>
      </c>
      <c r="O3" s="34" t="s">
        <v>383</v>
      </c>
    </row>
    <row r="4" spans="3:15" ht="12.75">
      <c r="C4" s="35"/>
      <c r="D4" s="32"/>
      <c r="E4" s="36"/>
      <c r="F4" s="36"/>
      <c r="G4" s="36"/>
      <c r="H4" s="36"/>
      <c r="I4" s="36"/>
      <c r="J4" s="36"/>
      <c r="K4" s="45"/>
      <c r="L4" s="37"/>
      <c r="M4" s="36"/>
      <c r="N4" s="37"/>
      <c r="O4" s="36"/>
    </row>
    <row r="5" spans="5:20" ht="12.75">
      <c r="E5" s="38" t="s">
        <v>10</v>
      </c>
      <c r="F5" s="38" t="s">
        <v>11</v>
      </c>
      <c r="G5" s="38" t="s">
        <v>12</v>
      </c>
      <c r="H5" s="38" t="s">
        <v>13</v>
      </c>
      <c r="I5" s="38" t="s">
        <v>14</v>
      </c>
      <c r="J5" s="38" t="s">
        <v>146</v>
      </c>
      <c r="K5" s="38" t="s">
        <v>147</v>
      </c>
      <c r="L5" s="38" t="s">
        <v>148</v>
      </c>
      <c r="M5" s="38" t="s">
        <v>156</v>
      </c>
      <c r="N5" s="127" t="s">
        <v>384</v>
      </c>
      <c r="O5" s="127" t="s">
        <v>385</v>
      </c>
      <c r="T5" s="78" t="s">
        <v>236</v>
      </c>
    </row>
    <row r="6" spans="1:20" ht="12.75">
      <c r="A6" s="39"/>
      <c r="B6" s="46"/>
      <c r="C6" s="131" t="s">
        <v>16</v>
      </c>
      <c r="D6" s="132">
        <v>1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S6" s="142" t="s">
        <v>250</v>
      </c>
      <c r="T6" s="143" t="s">
        <v>15</v>
      </c>
    </row>
    <row r="7" spans="1:20" ht="12.75">
      <c r="A7" s="39"/>
      <c r="B7" s="46"/>
      <c r="C7" s="131" t="s">
        <v>93</v>
      </c>
      <c r="D7" s="132">
        <v>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S7" s="144" t="s">
        <v>262</v>
      </c>
      <c r="T7" s="145" t="s">
        <v>92</v>
      </c>
    </row>
    <row r="8" spans="1:20" ht="12.75">
      <c r="A8" s="39"/>
      <c r="B8" s="46"/>
      <c r="C8" s="131" t="s">
        <v>442</v>
      </c>
      <c r="D8" s="132">
        <v>3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S8" s="144" t="s">
        <v>516</v>
      </c>
      <c r="T8" s="145" t="s">
        <v>517</v>
      </c>
    </row>
    <row r="9" spans="1:20" ht="12.75">
      <c r="A9" s="39"/>
      <c r="B9" s="46"/>
      <c r="C9" s="131" t="s">
        <v>443</v>
      </c>
      <c r="D9" s="132">
        <v>4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S9" s="144" t="s">
        <v>518</v>
      </c>
      <c r="T9" s="145" t="s">
        <v>519</v>
      </c>
    </row>
    <row r="10" spans="1:20" ht="12.75">
      <c r="A10" s="39"/>
      <c r="B10" s="46"/>
      <c r="C10" s="131" t="s">
        <v>95</v>
      </c>
      <c r="D10" s="132">
        <v>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S10" s="144" t="s">
        <v>252</v>
      </c>
      <c r="T10" s="145" t="s">
        <v>94</v>
      </c>
    </row>
    <row r="11" spans="1:20" ht="12.75">
      <c r="A11" s="39"/>
      <c r="B11" s="46"/>
      <c r="C11" s="131" t="s">
        <v>158</v>
      </c>
      <c r="D11" s="132">
        <v>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S11" s="144" t="s">
        <v>251</v>
      </c>
      <c r="T11" s="145" t="s">
        <v>65</v>
      </c>
    </row>
    <row r="12" spans="1:20" ht="12.75">
      <c r="A12" s="39"/>
      <c r="B12" s="46"/>
      <c r="C12" s="131" t="s">
        <v>444</v>
      </c>
      <c r="D12" s="132">
        <v>7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S12" s="144" t="s">
        <v>520</v>
      </c>
      <c r="T12" s="145" t="s">
        <v>521</v>
      </c>
    </row>
    <row r="13" spans="1:20" ht="12.75">
      <c r="A13" s="39"/>
      <c r="B13" s="46"/>
      <c r="C13" s="131" t="s">
        <v>159</v>
      </c>
      <c r="D13" s="132">
        <v>8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S13" s="144" t="s">
        <v>195</v>
      </c>
      <c r="T13" s="145" t="s">
        <v>17</v>
      </c>
    </row>
    <row r="14" spans="1:20" ht="12.75">
      <c r="A14" s="39"/>
      <c r="B14" s="46"/>
      <c r="C14" s="131" t="s">
        <v>160</v>
      </c>
      <c r="D14" s="132">
        <v>9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S14" s="144" t="s">
        <v>196</v>
      </c>
      <c r="T14" s="145" t="s">
        <v>18</v>
      </c>
    </row>
    <row r="15" spans="1:20" s="40" customFormat="1" ht="12.75">
      <c r="A15" s="39"/>
      <c r="B15" s="46"/>
      <c r="C15" s="131" t="s">
        <v>161</v>
      </c>
      <c r="D15" s="132">
        <v>10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S15" s="144" t="s">
        <v>253</v>
      </c>
      <c r="T15" s="145" t="s">
        <v>66</v>
      </c>
    </row>
    <row r="16" spans="1:20" s="41" customFormat="1" ht="12.75">
      <c r="A16" s="39"/>
      <c r="B16" s="46"/>
      <c r="C16" s="131" t="s">
        <v>445</v>
      </c>
      <c r="D16" s="132">
        <v>11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S16" s="144" t="s">
        <v>522</v>
      </c>
      <c r="T16" s="145" t="s">
        <v>523</v>
      </c>
    </row>
    <row r="17" spans="1:20" s="41" customFormat="1" ht="12.75">
      <c r="A17" s="39"/>
      <c r="B17" s="46"/>
      <c r="C17" s="131" t="s">
        <v>446</v>
      </c>
      <c r="D17" s="132">
        <v>12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S17" s="144" t="s">
        <v>524</v>
      </c>
      <c r="T17" s="145" t="s">
        <v>525</v>
      </c>
    </row>
    <row r="18" spans="1:20" ht="12.75">
      <c r="A18" s="39"/>
      <c r="B18" s="46"/>
      <c r="C18" s="131" t="s">
        <v>447</v>
      </c>
      <c r="D18" s="132">
        <v>13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S18" s="144" t="s">
        <v>526</v>
      </c>
      <c r="T18" s="145" t="s">
        <v>527</v>
      </c>
    </row>
    <row r="19" spans="1:21" ht="12.75">
      <c r="A19" s="39"/>
      <c r="B19" s="46"/>
      <c r="C19" s="131" t="s">
        <v>448</v>
      </c>
      <c r="D19" s="132">
        <v>14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S19" s="144" t="s">
        <v>528</v>
      </c>
      <c r="T19" s="145" t="s">
        <v>529</v>
      </c>
      <c r="U19" s="42"/>
    </row>
    <row r="20" spans="1:20" ht="12.75">
      <c r="A20" s="39"/>
      <c r="B20" s="46"/>
      <c r="C20" s="131" t="s">
        <v>162</v>
      </c>
      <c r="D20" s="132">
        <v>15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S20" s="144" t="s">
        <v>257</v>
      </c>
      <c r="T20" s="145" t="s">
        <v>67</v>
      </c>
    </row>
    <row r="21" spans="1:20" ht="12.75">
      <c r="A21" s="39"/>
      <c r="B21" s="46"/>
      <c r="C21" s="131" t="s">
        <v>163</v>
      </c>
      <c r="D21" s="132">
        <v>16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S21" s="144" t="s">
        <v>197</v>
      </c>
      <c r="T21" s="145" t="s">
        <v>19</v>
      </c>
    </row>
    <row r="22" spans="1:20" ht="12.75">
      <c r="A22" s="39"/>
      <c r="B22" s="46"/>
      <c r="C22" s="131" t="s">
        <v>449</v>
      </c>
      <c r="D22" s="132">
        <v>17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S22" s="144" t="s">
        <v>530</v>
      </c>
      <c r="T22" s="145" t="s">
        <v>531</v>
      </c>
    </row>
    <row r="23" spans="1:20" ht="12.75">
      <c r="A23" s="39"/>
      <c r="B23" s="46"/>
      <c r="C23" s="131" t="s">
        <v>450</v>
      </c>
      <c r="D23" s="132">
        <v>18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S23" s="144" t="s">
        <v>532</v>
      </c>
      <c r="T23" s="145" t="s">
        <v>533</v>
      </c>
    </row>
    <row r="24" spans="1:20" ht="12.75">
      <c r="A24" s="39"/>
      <c r="B24" s="46"/>
      <c r="C24" s="131" t="s">
        <v>451</v>
      </c>
      <c r="D24" s="132">
        <v>19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S24" s="144" t="s">
        <v>534</v>
      </c>
      <c r="T24" s="145" t="s">
        <v>535</v>
      </c>
    </row>
    <row r="25" spans="1:20" ht="12.75">
      <c r="A25" s="39"/>
      <c r="B25" s="46"/>
      <c r="C25" s="131" t="s">
        <v>164</v>
      </c>
      <c r="D25" s="132">
        <v>20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S25" s="144" t="s">
        <v>254</v>
      </c>
      <c r="T25" s="145" t="s">
        <v>84</v>
      </c>
    </row>
    <row r="26" spans="1:20" ht="12.75">
      <c r="A26" s="39"/>
      <c r="B26" s="46"/>
      <c r="C26" s="131" t="s">
        <v>97</v>
      </c>
      <c r="D26" s="132">
        <v>21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S26" s="144" t="s">
        <v>256</v>
      </c>
      <c r="T26" s="145" t="s">
        <v>96</v>
      </c>
    </row>
    <row r="27" spans="1:20" ht="12.75">
      <c r="A27" s="39"/>
      <c r="B27" s="46"/>
      <c r="C27" s="131" t="s">
        <v>452</v>
      </c>
      <c r="D27" s="132">
        <v>22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S27" s="144" t="s">
        <v>536</v>
      </c>
      <c r="T27" s="145" t="s">
        <v>537</v>
      </c>
    </row>
    <row r="28" spans="1:20" ht="12.75">
      <c r="A28" s="39"/>
      <c r="B28" s="46"/>
      <c r="C28" s="133" t="s">
        <v>453</v>
      </c>
      <c r="D28" s="132">
        <v>23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S28" s="144" t="s">
        <v>538</v>
      </c>
      <c r="T28" s="145" t="s">
        <v>539</v>
      </c>
    </row>
    <row r="29" spans="1:20" ht="12.75">
      <c r="A29" s="39"/>
      <c r="B29" s="46"/>
      <c r="C29" s="131" t="s">
        <v>21</v>
      </c>
      <c r="D29" s="132">
        <v>24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S29" s="144" t="s">
        <v>255</v>
      </c>
      <c r="T29" s="145" t="s">
        <v>20</v>
      </c>
    </row>
    <row r="30" spans="1:20" ht="12.75">
      <c r="A30" s="39"/>
      <c r="B30" s="46"/>
      <c r="C30" s="131" t="s">
        <v>454</v>
      </c>
      <c r="D30" s="132">
        <v>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S30" s="144" t="s">
        <v>540</v>
      </c>
      <c r="T30" s="145" t="s">
        <v>541</v>
      </c>
    </row>
    <row r="31" spans="1:20" ht="12.75">
      <c r="A31" s="39"/>
      <c r="B31" s="46"/>
      <c r="C31" s="131" t="s">
        <v>455</v>
      </c>
      <c r="D31" s="132">
        <v>26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S31" s="144" t="s">
        <v>542</v>
      </c>
      <c r="T31" s="145" t="s">
        <v>543</v>
      </c>
    </row>
    <row r="32" spans="1:20" ht="12.75">
      <c r="A32" s="39"/>
      <c r="B32" s="46"/>
      <c r="C32" s="131" t="s">
        <v>98</v>
      </c>
      <c r="D32" s="132">
        <v>27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S32" s="144" t="s">
        <v>198</v>
      </c>
      <c r="T32" s="145" t="s">
        <v>22</v>
      </c>
    </row>
    <row r="33" spans="1:23" s="42" customFormat="1" ht="12.75">
      <c r="A33" s="116"/>
      <c r="B33" s="117"/>
      <c r="C33" s="131" t="s">
        <v>456</v>
      </c>
      <c r="D33" s="132">
        <v>28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S33" s="144" t="s">
        <v>544</v>
      </c>
      <c r="T33" s="145" t="s">
        <v>545</v>
      </c>
      <c r="W33" s="118"/>
    </row>
    <row r="34" spans="1:20" ht="12.75">
      <c r="A34" s="39"/>
      <c r="B34" s="46"/>
      <c r="C34" s="131" t="s">
        <v>100</v>
      </c>
      <c r="D34" s="132">
        <v>29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S34" s="144" t="s">
        <v>258</v>
      </c>
      <c r="T34" s="145" t="s">
        <v>99</v>
      </c>
    </row>
    <row r="35" spans="1:20" ht="12.75">
      <c r="A35" s="39"/>
      <c r="B35" s="46"/>
      <c r="C35" s="131" t="s">
        <v>457</v>
      </c>
      <c r="D35" s="132">
        <v>30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S35" s="144" t="s">
        <v>259</v>
      </c>
      <c r="T35" s="145" t="s">
        <v>23</v>
      </c>
    </row>
    <row r="36" spans="1:20" ht="12.75">
      <c r="A36" s="39"/>
      <c r="B36" s="46"/>
      <c r="C36" s="131" t="s">
        <v>25</v>
      </c>
      <c r="D36" s="132">
        <v>31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S36" s="144" t="s">
        <v>260</v>
      </c>
      <c r="T36" s="145" t="s">
        <v>24</v>
      </c>
    </row>
    <row r="37" spans="1:23" s="42" customFormat="1" ht="12.75">
      <c r="A37" s="116"/>
      <c r="B37" s="117"/>
      <c r="C37" s="131" t="s">
        <v>458</v>
      </c>
      <c r="D37" s="150">
        <v>32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S37" s="151" t="s">
        <v>546</v>
      </c>
      <c r="T37" s="152" t="s">
        <v>547</v>
      </c>
      <c r="W37" s="118"/>
    </row>
    <row r="38" spans="1:23" s="42" customFormat="1" ht="12.75">
      <c r="A38" s="116"/>
      <c r="B38" s="117"/>
      <c r="C38" s="131" t="s">
        <v>459</v>
      </c>
      <c r="D38" s="150">
        <v>33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S38" s="151" t="s">
        <v>548</v>
      </c>
      <c r="T38" s="152" t="s">
        <v>549</v>
      </c>
      <c r="W38" s="118"/>
    </row>
    <row r="39" spans="1:23" s="42" customFormat="1" ht="12.75">
      <c r="A39" s="116"/>
      <c r="B39" s="117"/>
      <c r="C39" s="131" t="s">
        <v>460</v>
      </c>
      <c r="D39" s="150">
        <v>34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S39" s="151" t="s">
        <v>550</v>
      </c>
      <c r="T39" s="152" t="s">
        <v>551</v>
      </c>
      <c r="W39" s="118"/>
    </row>
    <row r="40" spans="1:23" s="42" customFormat="1" ht="12.75">
      <c r="A40" s="116"/>
      <c r="B40" s="117"/>
      <c r="C40" s="131" t="s">
        <v>165</v>
      </c>
      <c r="D40" s="150">
        <v>35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S40" s="151" t="s">
        <v>267</v>
      </c>
      <c r="T40" s="152" t="s">
        <v>85</v>
      </c>
      <c r="W40" s="118"/>
    </row>
    <row r="41" spans="1:23" s="42" customFormat="1" ht="12.75">
      <c r="A41" s="116"/>
      <c r="B41" s="117"/>
      <c r="C41" s="131" t="s">
        <v>461</v>
      </c>
      <c r="D41" s="150">
        <v>36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S41" s="151" t="s">
        <v>552</v>
      </c>
      <c r="T41" s="152" t="s">
        <v>553</v>
      </c>
      <c r="W41" s="118"/>
    </row>
    <row r="42" spans="1:23" s="42" customFormat="1" ht="12.75">
      <c r="A42" s="116"/>
      <c r="B42" s="117"/>
      <c r="C42" s="131" t="s">
        <v>462</v>
      </c>
      <c r="D42" s="150">
        <v>37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S42" s="151" t="s">
        <v>554</v>
      </c>
      <c r="T42" s="152" t="s">
        <v>555</v>
      </c>
      <c r="W42" s="118"/>
    </row>
    <row r="43" spans="1:23" s="42" customFormat="1" ht="12.75">
      <c r="A43" s="116"/>
      <c r="B43" s="117"/>
      <c r="C43" s="131" t="s">
        <v>102</v>
      </c>
      <c r="D43" s="150">
        <v>38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S43" s="151" t="s">
        <v>261</v>
      </c>
      <c r="T43" s="152" t="s">
        <v>101</v>
      </c>
      <c r="W43" s="118"/>
    </row>
    <row r="44" spans="1:23" s="42" customFormat="1" ht="12.75">
      <c r="A44" s="116"/>
      <c r="B44" s="117"/>
      <c r="C44" s="131" t="s">
        <v>26</v>
      </c>
      <c r="D44" s="150">
        <v>39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S44" s="151" t="s">
        <v>199</v>
      </c>
      <c r="T44" s="152" t="s">
        <v>180</v>
      </c>
      <c r="W44" s="118"/>
    </row>
    <row r="45" spans="1:23" s="42" customFormat="1" ht="12.75">
      <c r="A45" s="116"/>
      <c r="B45" s="117"/>
      <c r="C45" s="131" t="s">
        <v>463</v>
      </c>
      <c r="D45" s="150">
        <v>40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S45" s="151" t="s">
        <v>272</v>
      </c>
      <c r="T45" s="152" t="s">
        <v>181</v>
      </c>
      <c r="W45" s="118"/>
    </row>
    <row r="46" spans="1:23" s="42" customFormat="1" ht="12.75">
      <c r="A46" s="116"/>
      <c r="B46" s="117"/>
      <c r="C46" s="131" t="s">
        <v>464</v>
      </c>
      <c r="D46" s="150">
        <v>41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S46" s="151" t="s">
        <v>556</v>
      </c>
      <c r="T46" s="152" t="s">
        <v>557</v>
      </c>
      <c r="W46" s="118"/>
    </row>
    <row r="47" spans="1:23" s="42" customFormat="1" ht="12.75">
      <c r="A47" s="116"/>
      <c r="B47" s="117"/>
      <c r="C47" s="131" t="s">
        <v>103</v>
      </c>
      <c r="D47" s="150">
        <v>42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S47" s="151" t="s">
        <v>200</v>
      </c>
      <c r="T47" s="152" t="s">
        <v>27</v>
      </c>
      <c r="W47" s="118"/>
    </row>
    <row r="48" spans="1:23" s="42" customFormat="1" ht="12.75">
      <c r="A48" s="116"/>
      <c r="B48" s="117"/>
      <c r="C48" s="131" t="s">
        <v>465</v>
      </c>
      <c r="D48" s="150">
        <v>43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S48" s="151" t="s">
        <v>558</v>
      </c>
      <c r="T48" s="152" t="s">
        <v>559</v>
      </c>
      <c r="W48" s="118"/>
    </row>
    <row r="49" spans="1:23" s="42" customFormat="1" ht="12.75">
      <c r="A49" s="116"/>
      <c r="B49" s="117"/>
      <c r="C49" s="131" t="s">
        <v>397</v>
      </c>
      <c r="D49" s="150">
        <v>44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S49" s="151" t="s">
        <v>412</v>
      </c>
      <c r="T49" s="152" t="s">
        <v>413</v>
      </c>
      <c r="W49" s="118"/>
    </row>
    <row r="50" spans="1:23" s="42" customFormat="1" ht="12.75">
      <c r="A50" s="116"/>
      <c r="B50" s="117"/>
      <c r="C50" s="131" t="s">
        <v>466</v>
      </c>
      <c r="D50" s="150">
        <v>45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S50" s="151" t="s">
        <v>560</v>
      </c>
      <c r="T50" s="152" t="s">
        <v>561</v>
      </c>
      <c r="W50" s="118"/>
    </row>
    <row r="51" spans="1:20" s="153" customFormat="1" ht="12.75">
      <c r="A51" s="116"/>
      <c r="B51" s="117"/>
      <c r="C51" s="131" t="s">
        <v>105</v>
      </c>
      <c r="D51" s="150">
        <v>46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S51" s="151" t="s">
        <v>264</v>
      </c>
      <c r="T51" s="152" t="s">
        <v>104</v>
      </c>
    </row>
    <row r="52" spans="1:23" s="42" customFormat="1" ht="12.75">
      <c r="A52" s="116"/>
      <c r="B52" s="117"/>
      <c r="C52" s="131" t="s">
        <v>467</v>
      </c>
      <c r="D52" s="150">
        <v>47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S52" s="151" t="s">
        <v>562</v>
      </c>
      <c r="T52" s="152" t="s">
        <v>649</v>
      </c>
      <c r="W52" s="118"/>
    </row>
    <row r="53" spans="1:23" s="42" customFormat="1" ht="12.75">
      <c r="A53" s="116"/>
      <c r="B53" s="117"/>
      <c r="C53" s="131" t="s">
        <v>468</v>
      </c>
      <c r="D53" s="150">
        <v>48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S53" s="151" t="s">
        <v>563</v>
      </c>
      <c r="T53" s="152" t="s">
        <v>564</v>
      </c>
      <c r="W53" s="118"/>
    </row>
    <row r="54" spans="1:23" s="42" customFormat="1" ht="12.75">
      <c r="A54" s="116"/>
      <c r="B54" s="117"/>
      <c r="C54" s="131" t="s">
        <v>166</v>
      </c>
      <c r="D54" s="150">
        <v>49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S54" s="151" t="s">
        <v>263</v>
      </c>
      <c r="T54" s="152" t="s">
        <v>68</v>
      </c>
      <c r="W54" s="118"/>
    </row>
    <row r="55" spans="1:23" s="42" customFormat="1" ht="12.75">
      <c r="A55" s="116"/>
      <c r="B55" s="117"/>
      <c r="C55" s="131" t="s">
        <v>398</v>
      </c>
      <c r="D55" s="150">
        <v>50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S55" s="151" t="s">
        <v>415</v>
      </c>
      <c r="T55" s="152" t="s">
        <v>414</v>
      </c>
      <c r="W55" s="118"/>
    </row>
    <row r="56" spans="1:23" s="42" customFormat="1" ht="12.75">
      <c r="A56" s="116"/>
      <c r="B56" s="117"/>
      <c r="C56" s="131" t="s">
        <v>106</v>
      </c>
      <c r="D56" s="150">
        <v>51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S56" s="151" t="s">
        <v>201</v>
      </c>
      <c r="T56" s="152" t="s">
        <v>28</v>
      </c>
      <c r="W56" s="118"/>
    </row>
    <row r="57" spans="1:23" s="42" customFormat="1" ht="12.75">
      <c r="A57" s="116"/>
      <c r="B57" s="117"/>
      <c r="C57" s="131" t="s">
        <v>4</v>
      </c>
      <c r="D57" s="150">
        <v>52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S57" s="151" t="s">
        <v>202</v>
      </c>
      <c r="T57" s="152" t="s">
        <v>29</v>
      </c>
      <c r="W57" s="118"/>
    </row>
    <row r="58" spans="1:23" s="42" customFormat="1" ht="12.75">
      <c r="A58" s="116"/>
      <c r="B58" s="117"/>
      <c r="C58" s="131" t="s">
        <v>469</v>
      </c>
      <c r="D58" s="150">
        <v>53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S58" s="151" t="s">
        <v>565</v>
      </c>
      <c r="T58" s="152" t="s">
        <v>566</v>
      </c>
      <c r="W58" s="118"/>
    </row>
    <row r="59" spans="1:23" s="42" customFormat="1" ht="12.75">
      <c r="A59" s="116"/>
      <c r="B59" s="117"/>
      <c r="C59" s="131" t="s">
        <v>167</v>
      </c>
      <c r="D59" s="150">
        <v>54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S59" s="151" t="s">
        <v>265</v>
      </c>
      <c r="T59" s="152" t="s">
        <v>69</v>
      </c>
      <c r="W59" s="118"/>
    </row>
    <row r="60" spans="1:23" s="42" customFormat="1" ht="12.75">
      <c r="A60" s="116"/>
      <c r="B60" s="117"/>
      <c r="C60" s="131" t="s">
        <v>107</v>
      </c>
      <c r="D60" s="150">
        <v>55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S60" s="151" t="s">
        <v>203</v>
      </c>
      <c r="T60" s="152" t="s">
        <v>30</v>
      </c>
      <c r="W60" s="118"/>
    </row>
    <row r="61" spans="1:23" s="42" customFormat="1" ht="12.75">
      <c r="A61" s="116"/>
      <c r="B61" s="117"/>
      <c r="C61" s="131" t="s">
        <v>470</v>
      </c>
      <c r="D61" s="150">
        <v>56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S61" s="151" t="s">
        <v>567</v>
      </c>
      <c r="T61" s="152" t="s">
        <v>568</v>
      </c>
      <c r="W61" s="118"/>
    </row>
    <row r="62" spans="1:23" s="42" customFormat="1" ht="12.75">
      <c r="A62" s="116"/>
      <c r="B62" s="117"/>
      <c r="C62" s="131" t="s">
        <v>471</v>
      </c>
      <c r="D62" s="150">
        <v>57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S62" s="151" t="s">
        <v>569</v>
      </c>
      <c r="T62" s="152" t="s">
        <v>570</v>
      </c>
      <c r="W62" s="118"/>
    </row>
    <row r="63" spans="1:23" s="42" customFormat="1" ht="12.75">
      <c r="A63" s="116"/>
      <c r="B63" s="117"/>
      <c r="C63" s="131" t="s">
        <v>108</v>
      </c>
      <c r="D63" s="150">
        <v>58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S63" s="151" t="s">
        <v>204</v>
      </c>
      <c r="T63" s="152" t="s">
        <v>31</v>
      </c>
      <c r="W63" s="118"/>
    </row>
    <row r="64" spans="1:23" s="42" customFormat="1" ht="12.75">
      <c r="A64" s="116"/>
      <c r="B64" s="117"/>
      <c r="C64" s="131" t="s">
        <v>399</v>
      </c>
      <c r="D64" s="150">
        <v>59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S64" s="151" t="s">
        <v>416</v>
      </c>
      <c r="T64" s="152" t="s">
        <v>417</v>
      </c>
      <c r="W64" s="118"/>
    </row>
    <row r="65" spans="1:23" s="42" customFormat="1" ht="12.75">
      <c r="A65" s="116"/>
      <c r="B65" s="117"/>
      <c r="C65" s="131" t="s">
        <v>472</v>
      </c>
      <c r="D65" s="150">
        <v>60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S65" s="151" t="s">
        <v>571</v>
      </c>
      <c r="T65" s="152" t="s">
        <v>572</v>
      </c>
      <c r="W65" s="118"/>
    </row>
    <row r="66" spans="1:23" s="42" customFormat="1" ht="12.75">
      <c r="A66" s="116"/>
      <c r="B66" s="117"/>
      <c r="C66" s="131" t="s">
        <v>473</v>
      </c>
      <c r="D66" s="150">
        <v>61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S66" s="151" t="s">
        <v>573</v>
      </c>
      <c r="T66" s="152" t="s">
        <v>574</v>
      </c>
      <c r="W66" s="118"/>
    </row>
    <row r="67" spans="1:23" s="42" customFormat="1" ht="12.75">
      <c r="A67" s="116"/>
      <c r="B67" s="117"/>
      <c r="C67" s="131" t="s">
        <v>474</v>
      </c>
      <c r="D67" s="150">
        <v>62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S67" s="151" t="s">
        <v>266</v>
      </c>
      <c r="T67" s="152" t="s">
        <v>109</v>
      </c>
      <c r="W67" s="118"/>
    </row>
    <row r="68" spans="1:23" s="42" customFormat="1" ht="12.75">
      <c r="A68" s="116"/>
      <c r="B68" s="117"/>
      <c r="C68" s="131" t="s">
        <v>33</v>
      </c>
      <c r="D68" s="150">
        <v>63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S68" s="151" t="s">
        <v>205</v>
      </c>
      <c r="T68" s="152" t="s">
        <v>32</v>
      </c>
      <c r="W68" s="118"/>
    </row>
    <row r="69" spans="1:23" s="42" customFormat="1" ht="12.75">
      <c r="A69" s="116"/>
      <c r="B69" s="117"/>
      <c r="C69" s="131" t="s">
        <v>35</v>
      </c>
      <c r="D69" s="150">
        <v>64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S69" s="151" t="s">
        <v>206</v>
      </c>
      <c r="T69" s="152" t="s">
        <v>34</v>
      </c>
      <c r="W69" s="118"/>
    </row>
    <row r="70" spans="1:23" s="42" customFormat="1" ht="12.75">
      <c r="A70" s="116"/>
      <c r="B70" s="117"/>
      <c r="C70" s="131" t="s">
        <v>111</v>
      </c>
      <c r="D70" s="150">
        <v>65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S70" s="151" t="s">
        <v>270</v>
      </c>
      <c r="T70" s="152" t="s">
        <v>110</v>
      </c>
      <c r="W70" s="118"/>
    </row>
    <row r="71" spans="1:23" s="42" customFormat="1" ht="12.75">
      <c r="A71" s="116"/>
      <c r="B71" s="117"/>
      <c r="C71" s="131" t="s">
        <v>37</v>
      </c>
      <c r="D71" s="150">
        <v>66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S71" s="151" t="s">
        <v>268</v>
      </c>
      <c r="T71" s="152" t="s">
        <v>36</v>
      </c>
      <c r="W71" s="118"/>
    </row>
    <row r="72" spans="1:20" s="153" customFormat="1" ht="12.75">
      <c r="A72" s="116"/>
      <c r="B72" s="117"/>
      <c r="C72" s="131" t="s">
        <v>475</v>
      </c>
      <c r="D72" s="150">
        <v>67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S72" s="151" t="s">
        <v>419</v>
      </c>
      <c r="T72" s="152" t="s">
        <v>418</v>
      </c>
    </row>
    <row r="73" spans="1:23" s="42" customFormat="1" ht="12.75">
      <c r="A73" s="116"/>
      <c r="B73" s="117"/>
      <c r="C73" s="131" t="s">
        <v>476</v>
      </c>
      <c r="D73" s="150">
        <v>68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S73" s="151" t="s">
        <v>575</v>
      </c>
      <c r="T73" s="152" t="s">
        <v>576</v>
      </c>
      <c r="W73" s="118"/>
    </row>
    <row r="74" spans="1:23" s="42" customFormat="1" ht="12.75">
      <c r="A74" s="116"/>
      <c r="B74" s="117"/>
      <c r="C74" s="131" t="s">
        <v>112</v>
      </c>
      <c r="D74" s="150">
        <v>69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S74" s="151" t="s">
        <v>207</v>
      </c>
      <c r="T74" s="152" t="s">
        <v>38</v>
      </c>
      <c r="W74" s="118"/>
    </row>
    <row r="75" spans="1:23" s="42" customFormat="1" ht="12.75">
      <c r="A75" s="116"/>
      <c r="B75" s="117"/>
      <c r="C75" s="131" t="s">
        <v>40</v>
      </c>
      <c r="D75" s="150">
        <v>70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S75" s="151" t="s">
        <v>269</v>
      </c>
      <c r="T75" s="152" t="s">
        <v>39</v>
      </c>
      <c r="W75" s="118"/>
    </row>
    <row r="76" spans="1:23" s="42" customFormat="1" ht="12.75">
      <c r="A76" s="116"/>
      <c r="B76" s="117"/>
      <c r="C76" s="131" t="s">
        <v>113</v>
      </c>
      <c r="D76" s="150">
        <v>71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S76" s="151" t="s">
        <v>208</v>
      </c>
      <c r="T76" s="152" t="s">
        <v>41</v>
      </c>
      <c r="W76" s="118"/>
    </row>
    <row r="77" spans="1:23" s="42" customFormat="1" ht="12.75">
      <c r="A77" s="116"/>
      <c r="B77" s="117"/>
      <c r="C77" s="131" t="s">
        <v>477</v>
      </c>
      <c r="D77" s="150">
        <v>72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S77" s="151" t="s">
        <v>577</v>
      </c>
      <c r="T77" s="152" t="s">
        <v>578</v>
      </c>
      <c r="W77" s="118"/>
    </row>
    <row r="78" spans="1:23" s="42" customFormat="1" ht="12.75">
      <c r="A78" s="116"/>
      <c r="B78" s="116"/>
      <c r="C78" s="131" t="s">
        <v>114</v>
      </c>
      <c r="D78" s="150">
        <v>73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S78" s="151" t="s">
        <v>209</v>
      </c>
      <c r="T78" s="152" t="s">
        <v>42</v>
      </c>
      <c r="W78" s="118"/>
    </row>
    <row r="79" spans="3:23" s="116" customFormat="1" ht="12.75">
      <c r="C79" s="131" t="s">
        <v>400</v>
      </c>
      <c r="D79" s="150">
        <v>74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S79" s="151" t="s">
        <v>421</v>
      </c>
      <c r="T79" s="152" t="s">
        <v>420</v>
      </c>
      <c r="W79" s="154"/>
    </row>
    <row r="80" spans="2:20" s="155" customFormat="1" ht="12.75">
      <c r="B80" s="155" t="s">
        <v>183</v>
      </c>
      <c r="C80" s="131" t="s">
        <v>168</v>
      </c>
      <c r="D80" s="150">
        <v>75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S80" s="151" t="s">
        <v>273</v>
      </c>
      <c r="T80" s="152" t="s">
        <v>70</v>
      </c>
    </row>
    <row r="81" spans="3:23" s="42" customFormat="1" ht="12.75">
      <c r="C81" s="131" t="s">
        <v>401</v>
      </c>
      <c r="D81" s="150">
        <v>76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S81" s="151" t="s">
        <v>423</v>
      </c>
      <c r="T81" s="152" t="s">
        <v>422</v>
      </c>
      <c r="W81" s="118"/>
    </row>
    <row r="82" spans="1:23" s="42" customFormat="1" ht="12.75">
      <c r="A82" s="116"/>
      <c r="B82" s="117"/>
      <c r="C82" s="131" t="s">
        <v>116</v>
      </c>
      <c r="D82" s="150">
        <v>77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S82" s="151" t="s">
        <v>210</v>
      </c>
      <c r="T82" s="152" t="s">
        <v>115</v>
      </c>
      <c r="W82" s="118"/>
    </row>
    <row r="83" spans="3:23" s="42" customFormat="1" ht="12.75">
      <c r="C83" s="131" t="s">
        <v>478</v>
      </c>
      <c r="D83" s="150">
        <v>78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S83" s="151" t="s">
        <v>579</v>
      </c>
      <c r="T83" s="152" t="s">
        <v>580</v>
      </c>
      <c r="W83" s="118"/>
    </row>
    <row r="84" spans="3:23" s="42" customFormat="1" ht="12.75">
      <c r="C84" s="131" t="s">
        <v>479</v>
      </c>
      <c r="D84" s="150">
        <v>79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S84" s="151" t="s">
        <v>581</v>
      </c>
      <c r="T84" s="152" t="s">
        <v>582</v>
      </c>
      <c r="W84" s="118"/>
    </row>
    <row r="85" spans="3:23" s="42" customFormat="1" ht="12.75">
      <c r="C85" s="131" t="s">
        <v>169</v>
      </c>
      <c r="D85" s="150">
        <v>80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S85" s="151" t="s">
        <v>271</v>
      </c>
      <c r="T85" s="152" t="s">
        <v>71</v>
      </c>
      <c r="W85" s="118"/>
    </row>
    <row r="86" spans="3:23" s="42" customFormat="1" ht="12.75">
      <c r="C86" s="131" t="s">
        <v>480</v>
      </c>
      <c r="D86" s="150">
        <v>81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S86" s="151" t="s">
        <v>440</v>
      </c>
      <c r="T86" s="152" t="s">
        <v>648</v>
      </c>
      <c r="W86" s="118"/>
    </row>
    <row r="87" spans="3:23" s="42" customFormat="1" ht="12.75">
      <c r="C87" s="131" t="s">
        <v>170</v>
      </c>
      <c r="D87" s="150">
        <v>82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S87" s="151" t="s">
        <v>275</v>
      </c>
      <c r="T87" s="152" t="s">
        <v>72</v>
      </c>
      <c r="W87" s="118"/>
    </row>
    <row r="88" spans="3:23" s="42" customFormat="1" ht="12.75">
      <c r="C88" s="131" t="s">
        <v>481</v>
      </c>
      <c r="D88" s="150">
        <v>83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S88" s="151" t="s">
        <v>583</v>
      </c>
      <c r="T88" s="152" t="s">
        <v>584</v>
      </c>
      <c r="W88" s="118"/>
    </row>
    <row r="89" spans="3:23" s="42" customFormat="1" ht="12.75">
      <c r="C89" s="131" t="s">
        <v>482</v>
      </c>
      <c r="D89" s="150">
        <v>84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S89" s="151" t="s">
        <v>585</v>
      </c>
      <c r="T89" s="152" t="s">
        <v>586</v>
      </c>
      <c r="W89" s="118"/>
    </row>
    <row r="90" spans="3:23" s="42" customFormat="1" ht="12.75">
      <c r="C90" s="131" t="s">
        <v>483</v>
      </c>
      <c r="D90" s="150">
        <v>85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S90" s="151" t="s">
        <v>587</v>
      </c>
      <c r="T90" s="152" t="s">
        <v>588</v>
      </c>
      <c r="W90" s="118"/>
    </row>
    <row r="91" spans="3:23" s="42" customFormat="1" ht="12.75">
      <c r="C91" s="131" t="s">
        <v>484</v>
      </c>
      <c r="D91" s="150">
        <v>86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S91" s="151" t="s">
        <v>589</v>
      </c>
      <c r="T91" s="152" t="s">
        <v>590</v>
      </c>
      <c r="W91" s="118"/>
    </row>
    <row r="92" spans="3:23" s="42" customFormat="1" ht="12.75">
      <c r="C92" s="131" t="s">
        <v>171</v>
      </c>
      <c r="D92" s="150">
        <v>87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S92" s="151" t="s">
        <v>274</v>
      </c>
      <c r="T92" s="152" t="s">
        <v>73</v>
      </c>
      <c r="W92" s="118"/>
    </row>
    <row r="93" spans="3:23" s="42" customFormat="1" ht="12.75">
      <c r="C93" s="131" t="s">
        <v>44</v>
      </c>
      <c r="D93" s="150">
        <v>88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S93" s="151" t="s">
        <v>211</v>
      </c>
      <c r="T93" s="152" t="s">
        <v>43</v>
      </c>
      <c r="W93" s="118"/>
    </row>
    <row r="94" spans="3:23" s="42" customFormat="1" ht="12.75">
      <c r="C94" s="131" t="s">
        <v>485</v>
      </c>
      <c r="D94" s="150">
        <v>89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S94" s="151" t="s">
        <v>591</v>
      </c>
      <c r="T94" s="152" t="s">
        <v>592</v>
      </c>
      <c r="W94" s="118"/>
    </row>
    <row r="95" spans="3:23" s="42" customFormat="1" ht="12.75">
      <c r="C95" s="131" t="s">
        <v>118</v>
      </c>
      <c r="D95" s="150">
        <v>90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S95" s="151" t="s">
        <v>281</v>
      </c>
      <c r="T95" s="152" t="s">
        <v>117</v>
      </c>
      <c r="W95" s="118"/>
    </row>
    <row r="96" spans="3:23" s="42" customFormat="1" ht="12.75">
      <c r="C96" s="131" t="s">
        <v>120</v>
      </c>
      <c r="D96" s="150">
        <v>91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S96" s="151" t="s">
        <v>280</v>
      </c>
      <c r="T96" s="152" t="s">
        <v>119</v>
      </c>
      <c r="W96" s="118"/>
    </row>
    <row r="97" spans="3:23" s="42" customFormat="1" ht="12.75">
      <c r="C97" s="131" t="s">
        <v>486</v>
      </c>
      <c r="D97" s="150">
        <v>92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S97" s="151" t="s">
        <v>593</v>
      </c>
      <c r="T97" s="152" t="s">
        <v>594</v>
      </c>
      <c r="W97" s="118"/>
    </row>
    <row r="98" spans="3:23" s="42" customFormat="1" ht="12.75">
      <c r="C98" s="131" t="s">
        <v>487</v>
      </c>
      <c r="D98" s="150">
        <v>93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S98" s="151" t="s">
        <v>595</v>
      </c>
      <c r="T98" s="152" t="s">
        <v>596</v>
      </c>
      <c r="W98" s="118"/>
    </row>
    <row r="99" spans="3:23" s="42" customFormat="1" ht="12.75">
      <c r="C99" s="131" t="s">
        <v>402</v>
      </c>
      <c r="D99" s="150">
        <v>94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S99" s="151" t="s">
        <v>425</v>
      </c>
      <c r="T99" s="152" t="s">
        <v>424</v>
      </c>
      <c r="W99" s="118"/>
    </row>
    <row r="100" spans="3:23" s="42" customFormat="1" ht="12.75">
      <c r="C100" s="131" t="s">
        <v>46</v>
      </c>
      <c r="D100" s="150">
        <v>95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S100" s="151" t="s">
        <v>212</v>
      </c>
      <c r="T100" s="152" t="s">
        <v>45</v>
      </c>
      <c r="W100" s="118"/>
    </row>
    <row r="101" spans="3:23" s="42" customFormat="1" ht="12.75">
      <c r="C101" s="131" t="s">
        <v>488</v>
      </c>
      <c r="D101" s="150">
        <v>96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S101" s="151" t="s">
        <v>277</v>
      </c>
      <c r="T101" s="152" t="s">
        <v>74</v>
      </c>
      <c r="W101" s="118"/>
    </row>
    <row r="102" spans="3:23" s="42" customFormat="1" ht="12.75">
      <c r="C102" s="131" t="s">
        <v>375</v>
      </c>
      <c r="D102" s="150">
        <v>97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S102" s="151" t="s">
        <v>376</v>
      </c>
      <c r="T102" s="152" t="s">
        <v>377</v>
      </c>
      <c r="W102" s="118"/>
    </row>
    <row r="103" spans="3:23" s="42" customFormat="1" ht="12.75">
      <c r="C103" s="131" t="s">
        <v>172</v>
      </c>
      <c r="D103" s="150">
        <v>98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S103" s="151" t="s">
        <v>278</v>
      </c>
      <c r="T103" s="152" t="s">
        <v>182</v>
      </c>
      <c r="W103" s="118"/>
    </row>
    <row r="104" spans="3:23" s="42" customFormat="1" ht="12.75">
      <c r="C104" s="131" t="s">
        <v>122</v>
      </c>
      <c r="D104" s="150">
        <v>99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S104" s="151" t="s">
        <v>276</v>
      </c>
      <c r="T104" s="152" t="s">
        <v>121</v>
      </c>
      <c r="W104" s="118"/>
    </row>
    <row r="105" spans="3:23" s="42" customFormat="1" ht="12.75">
      <c r="C105" s="131" t="s">
        <v>48</v>
      </c>
      <c r="D105" s="150">
        <v>100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S105" s="151" t="s">
        <v>282</v>
      </c>
      <c r="T105" s="152" t="s">
        <v>47</v>
      </c>
      <c r="W105" s="118"/>
    </row>
    <row r="106" spans="3:23" s="42" customFormat="1" ht="12.75">
      <c r="C106" s="131" t="s">
        <v>374</v>
      </c>
      <c r="D106" s="150">
        <v>101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S106" s="151" t="s">
        <v>378</v>
      </c>
      <c r="T106" s="152" t="s">
        <v>379</v>
      </c>
      <c r="W106" s="118"/>
    </row>
    <row r="107" spans="3:23" s="42" customFormat="1" ht="12.75">
      <c r="C107" s="131" t="s">
        <v>489</v>
      </c>
      <c r="D107" s="150">
        <v>102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S107" s="151" t="s">
        <v>597</v>
      </c>
      <c r="T107" s="152" t="s">
        <v>598</v>
      </c>
      <c r="W107" s="118"/>
    </row>
    <row r="108" spans="3:23" s="42" customFormat="1" ht="12.75">
      <c r="C108" s="131" t="s">
        <v>490</v>
      </c>
      <c r="D108" s="150">
        <v>103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S108" s="151" t="s">
        <v>599</v>
      </c>
      <c r="T108" s="152" t="s">
        <v>600</v>
      </c>
      <c r="W108" s="118"/>
    </row>
    <row r="109" spans="3:23" s="42" customFormat="1" ht="12.75">
      <c r="C109" s="131" t="s">
        <v>123</v>
      </c>
      <c r="D109" s="150">
        <v>104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S109" s="151" t="s">
        <v>213</v>
      </c>
      <c r="T109" s="152" t="s">
        <v>49</v>
      </c>
      <c r="W109" s="118"/>
    </row>
    <row r="110" spans="3:23" s="42" customFormat="1" ht="12.75">
      <c r="C110" s="131" t="s">
        <v>491</v>
      </c>
      <c r="D110" s="150">
        <v>105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S110" s="151" t="s">
        <v>601</v>
      </c>
      <c r="T110" s="152" t="s">
        <v>602</v>
      </c>
      <c r="W110" s="118"/>
    </row>
    <row r="111" spans="3:23" s="42" customFormat="1" ht="12.75">
      <c r="C111" s="131" t="s">
        <v>124</v>
      </c>
      <c r="D111" s="150">
        <v>106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S111" s="151" t="s">
        <v>50</v>
      </c>
      <c r="T111" s="152" t="s">
        <v>50</v>
      </c>
      <c r="W111" s="118"/>
    </row>
    <row r="112" spans="3:23" s="42" customFormat="1" ht="12.75">
      <c r="C112" s="131" t="s">
        <v>643</v>
      </c>
      <c r="D112" s="150">
        <v>107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S112" s="151" t="s">
        <v>645</v>
      </c>
      <c r="T112" s="152" t="s">
        <v>644</v>
      </c>
      <c r="W112" s="118"/>
    </row>
    <row r="113" spans="3:23" s="42" customFormat="1" ht="12.75">
      <c r="C113" s="131" t="s">
        <v>492</v>
      </c>
      <c r="D113" s="150">
        <v>108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S113" s="151" t="s">
        <v>603</v>
      </c>
      <c r="T113" s="152" t="s">
        <v>604</v>
      </c>
      <c r="W113" s="118"/>
    </row>
    <row r="114" spans="1:23" s="42" customFormat="1" ht="12.75">
      <c r="A114" s="116"/>
      <c r="B114" s="117"/>
      <c r="C114" s="131" t="s">
        <v>646</v>
      </c>
      <c r="D114" s="150">
        <v>109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S114" s="151" t="s">
        <v>279</v>
      </c>
      <c r="T114" s="152" t="s">
        <v>647</v>
      </c>
      <c r="W114" s="118"/>
    </row>
    <row r="115" spans="3:23" s="42" customFormat="1" ht="12.75">
      <c r="C115" s="131" t="s">
        <v>125</v>
      </c>
      <c r="D115" s="150">
        <v>110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S115" s="151" t="s">
        <v>214</v>
      </c>
      <c r="T115" s="152" t="s">
        <v>51</v>
      </c>
      <c r="W115" s="118"/>
    </row>
    <row r="116" spans="3:23" s="42" customFormat="1" ht="12.75">
      <c r="C116" s="131" t="s">
        <v>493</v>
      </c>
      <c r="D116" s="150">
        <v>111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S116" s="151" t="s">
        <v>605</v>
      </c>
      <c r="T116" s="152" t="s">
        <v>606</v>
      </c>
      <c r="W116" s="118"/>
    </row>
    <row r="117" spans="3:23" s="42" customFormat="1" ht="12.75">
      <c r="C117" s="131" t="s">
        <v>127</v>
      </c>
      <c r="D117" s="150">
        <v>112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S117" s="151" t="s">
        <v>297</v>
      </c>
      <c r="T117" s="152" t="s">
        <v>126</v>
      </c>
      <c r="W117" s="118"/>
    </row>
    <row r="118" spans="3:23" s="42" customFormat="1" ht="12.75">
      <c r="C118" s="131" t="s">
        <v>494</v>
      </c>
      <c r="D118" s="150">
        <v>113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S118" s="151" t="s">
        <v>298</v>
      </c>
      <c r="T118" s="152" t="s">
        <v>129</v>
      </c>
      <c r="W118" s="118"/>
    </row>
    <row r="119" spans="3:23" s="42" customFormat="1" ht="12.75">
      <c r="C119" s="131" t="s">
        <v>495</v>
      </c>
      <c r="D119" s="150">
        <v>114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S119" s="151" t="s">
        <v>607</v>
      </c>
      <c r="T119" s="152" t="s">
        <v>608</v>
      </c>
      <c r="W119" s="118"/>
    </row>
    <row r="120" spans="3:23" s="42" customFormat="1" ht="12.75">
      <c r="C120" s="131" t="s">
        <v>496</v>
      </c>
      <c r="D120" s="150">
        <v>115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S120" s="151" t="s">
        <v>609</v>
      </c>
      <c r="T120" s="152" t="s">
        <v>610</v>
      </c>
      <c r="W120" s="118"/>
    </row>
    <row r="121" spans="3:23" s="42" customFormat="1" ht="12.75">
      <c r="C121" s="131" t="s">
        <v>185</v>
      </c>
      <c r="D121" s="150">
        <v>116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S121" s="151" t="s">
        <v>347</v>
      </c>
      <c r="T121" s="152" t="s">
        <v>189</v>
      </c>
      <c r="W121" s="118"/>
    </row>
    <row r="122" spans="3:23" s="42" customFormat="1" ht="12.75">
      <c r="C122" s="131" t="s">
        <v>497</v>
      </c>
      <c r="D122" s="150">
        <v>117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S122" s="151" t="s">
        <v>346</v>
      </c>
      <c r="T122" s="152" t="s">
        <v>128</v>
      </c>
      <c r="W122" s="118"/>
    </row>
    <row r="123" spans="3:23" s="42" customFormat="1" ht="12.75">
      <c r="C123" s="131" t="s">
        <v>131</v>
      </c>
      <c r="D123" s="150">
        <v>118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S123" s="151" t="s">
        <v>284</v>
      </c>
      <c r="T123" s="152" t="s">
        <v>130</v>
      </c>
      <c r="W123" s="118"/>
    </row>
    <row r="124" spans="3:23" s="42" customFormat="1" ht="12.75">
      <c r="C124" s="131" t="s">
        <v>403</v>
      </c>
      <c r="D124" s="150">
        <v>119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S124" s="151" t="s">
        <v>427</v>
      </c>
      <c r="T124" s="152" t="s">
        <v>426</v>
      </c>
      <c r="W124" s="118"/>
    </row>
    <row r="125" spans="3:23" s="42" customFormat="1" ht="12.75">
      <c r="C125" s="131" t="s">
        <v>498</v>
      </c>
      <c r="D125" s="150">
        <v>120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S125" s="151" t="s">
        <v>611</v>
      </c>
      <c r="T125" s="152" t="s">
        <v>612</v>
      </c>
      <c r="W125" s="118"/>
    </row>
    <row r="126" spans="3:23" s="42" customFormat="1" ht="12.75">
      <c r="C126" s="131" t="s">
        <v>404</v>
      </c>
      <c r="D126" s="150">
        <v>121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S126" s="151" t="s">
        <v>429</v>
      </c>
      <c r="T126" s="152" t="s">
        <v>428</v>
      </c>
      <c r="W126" s="118"/>
    </row>
    <row r="127" spans="3:23" s="42" customFormat="1" ht="12.75">
      <c r="C127" s="131" t="s">
        <v>133</v>
      </c>
      <c r="D127" s="150">
        <v>122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S127" s="151" t="s">
        <v>283</v>
      </c>
      <c r="T127" s="152" t="s">
        <v>132</v>
      </c>
      <c r="W127" s="118"/>
    </row>
    <row r="128" spans="3:23" s="42" customFormat="1" ht="12.75">
      <c r="C128" s="131" t="s">
        <v>53</v>
      </c>
      <c r="D128" s="150">
        <v>123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S128" s="151" t="s">
        <v>215</v>
      </c>
      <c r="T128" s="152" t="s">
        <v>52</v>
      </c>
      <c r="W128" s="118"/>
    </row>
    <row r="129" spans="3:23" s="42" customFormat="1" ht="12.75">
      <c r="C129" s="131" t="s">
        <v>134</v>
      </c>
      <c r="D129" s="150">
        <v>124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S129" s="151" t="s">
        <v>216</v>
      </c>
      <c r="T129" s="152" t="s">
        <v>54</v>
      </c>
      <c r="W129" s="118"/>
    </row>
    <row r="130" spans="3:23" s="42" customFormat="1" ht="12.75">
      <c r="C130" s="131" t="s">
        <v>499</v>
      </c>
      <c r="D130" s="150">
        <v>125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S130" s="151" t="s">
        <v>613</v>
      </c>
      <c r="T130" s="152" t="s">
        <v>614</v>
      </c>
      <c r="W130" s="118"/>
    </row>
    <row r="131" spans="3:23" s="42" customFormat="1" ht="12.75">
      <c r="C131" s="131" t="s">
        <v>56</v>
      </c>
      <c r="D131" s="150">
        <v>126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S131" s="151" t="s">
        <v>285</v>
      </c>
      <c r="T131" s="152" t="s">
        <v>55</v>
      </c>
      <c r="W131" s="118"/>
    </row>
    <row r="132" spans="3:23" s="42" customFormat="1" ht="12.75">
      <c r="C132" s="131" t="s">
        <v>345</v>
      </c>
      <c r="D132" s="150">
        <v>127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S132" s="151" t="s">
        <v>287</v>
      </c>
      <c r="T132" s="152" t="s">
        <v>75</v>
      </c>
      <c r="W132" s="118"/>
    </row>
    <row r="133" spans="3:23" s="42" customFormat="1" ht="12.75">
      <c r="C133" s="131" t="s">
        <v>500</v>
      </c>
      <c r="D133" s="150">
        <v>128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S133" s="151" t="s">
        <v>615</v>
      </c>
      <c r="T133" s="152" t="s">
        <v>616</v>
      </c>
      <c r="W133" s="118"/>
    </row>
    <row r="134" spans="3:23" s="42" customFormat="1" ht="12.75">
      <c r="C134" s="131" t="s">
        <v>501</v>
      </c>
      <c r="D134" s="150">
        <v>129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S134" s="151" t="s">
        <v>617</v>
      </c>
      <c r="T134" s="152" t="s">
        <v>618</v>
      </c>
      <c r="W134" s="118"/>
    </row>
    <row r="135" spans="3:23" s="42" customFormat="1" ht="12.75">
      <c r="C135" s="131" t="s">
        <v>405</v>
      </c>
      <c r="D135" s="150">
        <v>130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S135" s="151" t="s">
        <v>431</v>
      </c>
      <c r="T135" s="152" t="s">
        <v>430</v>
      </c>
      <c r="W135" s="118"/>
    </row>
    <row r="136" spans="3:23" s="42" customFormat="1" ht="12.75">
      <c r="C136" s="131" t="s">
        <v>173</v>
      </c>
      <c r="D136" s="150">
        <v>131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S136" s="151" t="s">
        <v>286</v>
      </c>
      <c r="T136" s="152" t="s">
        <v>87</v>
      </c>
      <c r="W136" s="118"/>
    </row>
    <row r="137" spans="3:23" s="42" customFormat="1" ht="12.75">
      <c r="C137" s="131" t="s">
        <v>502</v>
      </c>
      <c r="D137" s="150">
        <v>132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S137" s="151" t="s">
        <v>619</v>
      </c>
      <c r="T137" s="152" t="s">
        <v>620</v>
      </c>
      <c r="W137" s="118"/>
    </row>
    <row r="138" spans="3:23" s="42" customFormat="1" ht="12.75">
      <c r="C138" s="131" t="s">
        <v>406</v>
      </c>
      <c r="D138" s="150">
        <v>133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S138" s="151" t="s">
        <v>433</v>
      </c>
      <c r="T138" s="152" t="s">
        <v>432</v>
      </c>
      <c r="W138" s="118"/>
    </row>
    <row r="139" spans="3:23" s="42" customFormat="1" ht="12.75">
      <c r="C139" s="131" t="s">
        <v>58</v>
      </c>
      <c r="D139" s="150">
        <v>134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S139" s="151" t="s">
        <v>217</v>
      </c>
      <c r="T139" s="152" t="s">
        <v>57</v>
      </c>
      <c r="W139" s="118"/>
    </row>
    <row r="140" spans="3:23" s="42" customFormat="1" ht="12.75">
      <c r="C140" s="131" t="s">
        <v>174</v>
      </c>
      <c r="D140" s="150">
        <v>135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S140" s="151" t="s">
        <v>288</v>
      </c>
      <c r="T140" s="152" t="s">
        <v>86</v>
      </c>
      <c r="W140" s="118"/>
    </row>
    <row r="141" spans="3:23" s="42" customFormat="1" ht="12.75">
      <c r="C141" s="131" t="s">
        <v>60</v>
      </c>
      <c r="D141" s="150">
        <v>136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S141" s="151" t="s">
        <v>296</v>
      </c>
      <c r="T141" s="152" t="s">
        <v>59</v>
      </c>
      <c r="W141" s="118"/>
    </row>
    <row r="142" spans="3:23" s="42" customFormat="1" ht="12.75">
      <c r="C142" s="131" t="s">
        <v>503</v>
      </c>
      <c r="D142" s="150">
        <v>137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S142" s="151" t="s">
        <v>621</v>
      </c>
      <c r="T142" s="152" t="s">
        <v>622</v>
      </c>
      <c r="W142" s="118"/>
    </row>
    <row r="143" spans="3:23" s="42" customFormat="1" ht="12.75">
      <c r="C143" s="131" t="s">
        <v>135</v>
      </c>
      <c r="D143" s="150">
        <v>138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S143" s="151" t="s">
        <v>218</v>
      </c>
      <c r="T143" s="152" t="s">
        <v>61</v>
      </c>
      <c r="W143" s="118"/>
    </row>
    <row r="144" spans="3:23" s="42" customFormat="1" ht="12.75">
      <c r="C144" s="131" t="s">
        <v>407</v>
      </c>
      <c r="D144" s="150">
        <v>139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S144" s="151" t="s">
        <v>435</v>
      </c>
      <c r="T144" s="152" t="s">
        <v>434</v>
      </c>
      <c r="W144" s="118"/>
    </row>
    <row r="145" spans="3:23" s="42" customFormat="1" ht="12.75">
      <c r="C145" s="131" t="s">
        <v>504</v>
      </c>
      <c r="D145" s="150">
        <v>140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S145" s="151" t="s">
        <v>623</v>
      </c>
      <c r="T145" s="152" t="s">
        <v>624</v>
      </c>
      <c r="W145" s="118"/>
    </row>
    <row r="146" spans="3:23" s="42" customFormat="1" ht="12.75">
      <c r="C146" s="131" t="s">
        <v>136</v>
      </c>
      <c r="D146" s="150">
        <v>141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S146" s="151" t="s">
        <v>219</v>
      </c>
      <c r="T146" s="152" t="s">
        <v>62</v>
      </c>
      <c r="W146" s="118"/>
    </row>
    <row r="147" spans="3:23" s="42" customFormat="1" ht="12.75">
      <c r="C147" s="131" t="s">
        <v>137</v>
      </c>
      <c r="D147" s="150">
        <v>142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S147" s="151" t="s">
        <v>220</v>
      </c>
      <c r="T147" s="152" t="s">
        <v>63</v>
      </c>
      <c r="W147" s="118"/>
    </row>
    <row r="148" spans="3:23" s="42" customFormat="1" ht="12.75">
      <c r="C148" s="131" t="s">
        <v>505</v>
      </c>
      <c r="D148" s="150">
        <v>143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S148" s="151" t="s">
        <v>625</v>
      </c>
      <c r="T148" s="152" t="s">
        <v>626</v>
      </c>
      <c r="W148" s="118"/>
    </row>
    <row r="149" spans="3:23" s="42" customFormat="1" ht="12.75">
      <c r="C149" s="131" t="s">
        <v>506</v>
      </c>
      <c r="D149" s="150">
        <v>144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S149" s="151" t="s">
        <v>299</v>
      </c>
      <c r="T149" s="152" t="s">
        <v>188</v>
      </c>
      <c r="W149" s="118"/>
    </row>
    <row r="150" spans="3:23" s="42" customFormat="1" ht="12.75">
      <c r="C150" s="131" t="s">
        <v>175</v>
      </c>
      <c r="D150" s="150">
        <v>145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S150" s="151" t="s">
        <v>290</v>
      </c>
      <c r="T150" s="152" t="s">
        <v>76</v>
      </c>
      <c r="W150" s="118"/>
    </row>
    <row r="151" spans="3:23" s="42" customFormat="1" ht="12.75">
      <c r="C151" s="131" t="s">
        <v>507</v>
      </c>
      <c r="D151" s="150">
        <v>146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S151" s="151" t="s">
        <v>627</v>
      </c>
      <c r="T151" s="152" t="s">
        <v>628</v>
      </c>
      <c r="W151" s="118"/>
    </row>
    <row r="152" spans="3:20" ht="12.75">
      <c r="C152" s="131" t="s">
        <v>139</v>
      </c>
      <c r="D152" s="132">
        <v>147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S152" s="144" t="s">
        <v>289</v>
      </c>
      <c r="T152" s="145" t="s">
        <v>138</v>
      </c>
    </row>
    <row r="153" spans="3:20" ht="12.75">
      <c r="C153" s="131" t="s">
        <v>508</v>
      </c>
      <c r="D153" s="132">
        <v>148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S153" s="144" t="s">
        <v>629</v>
      </c>
      <c r="T153" s="145" t="s">
        <v>630</v>
      </c>
    </row>
    <row r="154" spans="3:20" ht="12.75">
      <c r="C154" s="131" t="s">
        <v>509</v>
      </c>
      <c r="D154" s="132">
        <v>149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S154" s="144" t="s">
        <v>631</v>
      </c>
      <c r="T154" s="145" t="s">
        <v>632</v>
      </c>
    </row>
    <row r="155" spans="3:20" ht="12.75">
      <c r="C155" s="131" t="s">
        <v>510</v>
      </c>
      <c r="D155" s="132">
        <v>150</v>
      </c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S155" s="144" t="s">
        <v>633</v>
      </c>
      <c r="T155" s="145" t="s">
        <v>634</v>
      </c>
    </row>
    <row r="156" spans="3:20" ht="12.75">
      <c r="C156" s="131" t="s">
        <v>511</v>
      </c>
      <c r="D156" s="132">
        <v>151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S156" s="144" t="s">
        <v>635</v>
      </c>
      <c r="T156" s="145" t="s">
        <v>636</v>
      </c>
    </row>
    <row r="157" spans="3:20" ht="12.75">
      <c r="C157" s="131" t="s">
        <v>140</v>
      </c>
      <c r="D157" s="132">
        <v>152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S157" s="144" t="s">
        <v>221</v>
      </c>
      <c r="T157" s="145" t="s">
        <v>64</v>
      </c>
    </row>
    <row r="158" spans="3:20" ht="12.75">
      <c r="C158" s="131" t="s">
        <v>176</v>
      </c>
      <c r="D158" s="132">
        <v>153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S158" s="144" t="s">
        <v>291</v>
      </c>
      <c r="T158" s="145" t="s">
        <v>77</v>
      </c>
    </row>
    <row r="159" spans="3:20" ht="12.75">
      <c r="C159" s="131" t="s">
        <v>512</v>
      </c>
      <c r="D159" s="132">
        <v>154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S159" s="144" t="s">
        <v>637</v>
      </c>
      <c r="T159" s="145" t="s">
        <v>638</v>
      </c>
    </row>
    <row r="160" spans="3:20" ht="12.75">
      <c r="C160" s="131" t="s">
        <v>177</v>
      </c>
      <c r="D160" s="132">
        <v>155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S160" s="144" t="s">
        <v>292</v>
      </c>
      <c r="T160" s="145" t="s">
        <v>78</v>
      </c>
    </row>
    <row r="161" spans="3:20" ht="12.75">
      <c r="C161" s="131" t="s">
        <v>408</v>
      </c>
      <c r="D161" s="132">
        <v>156</v>
      </c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S161" s="144" t="s">
        <v>437</v>
      </c>
      <c r="T161" s="145" t="s">
        <v>436</v>
      </c>
    </row>
    <row r="162" spans="3:20" ht="12.75">
      <c r="C162" s="131" t="s">
        <v>90</v>
      </c>
      <c r="D162" s="132">
        <v>157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S162" s="144" t="s">
        <v>222</v>
      </c>
      <c r="T162" s="145" t="s">
        <v>80</v>
      </c>
    </row>
    <row r="163" spans="3:20" ht="12.75">
      <c r="C163" s="131" t="s">
        <v>141</v>
      </c>
      <c r="D163" s="132">
        <v>158</v>
      </c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S163" s="144" t="s">
        <v>223</v>
      </c>
      <c r="T163" s="145" t="s">
        <v>81</v>
      </c>
    </row>
    <row r="164" spans="3:20" ht="12.75">
      <c r="C164" s="131" t="s">
        <v>513</v>
      </c>
      <c r="D164" s="132">
        <v>159</v>
      </c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S164" s="144" t="s">
        <v>639</v>
      </c>
      <c r="T164" s="145" t="s">
        <v>640</v>
      </c>
    </row>
    <row r="165" spans="3:20" ht="12.75">
      <c r="C165" s="131" t="s">
        <v>178</v>
      </c>
      <c r="D165" s="132">
        <v>160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S165" s="144" t="s">
        <v>293</v>
      </c>
      <c r="T165" s="145" t="s">
        <v>79</v>
      </c>
    </row>
    <row r="166" spans="3:20" ht="12.75">
      <c r="C166" s="131" t="s">
        <v>514</v>
      </c>
      <c r="D166" s="132">
        <v>161</v>
      </c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S166" s="144" t="s">
        <v>294</v>
      </c>
      <c r="T166" s="145" t="s">
        <v>82</v>
      </c>
    </row>
    <row r="167" spans="3:20" ht="12.75">
      <c r="C167" s="131" t="s">
        <v>409</v>
      </c>
      <c r="D167" s="132">
        <v>162</v>
      </c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S167" s="144" t="s">
        <v>295</v>
      </c>
      <c r="T167" s="145" t="s">
        <v>83</v>
      </c>
    </row>
    <row r="168" spans="3:20" ht="12.75">
      <c r="C168" s="131" t="s">
        <v>410</v>
      </c>
      <c r="D168" s="132">
        <v>163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S168" s="144" t="s">
        <v>439</v>
      </c>
      <c r="T168" s="145" t="s">
        <v>438</v>
      </c>
    </row>
    <row r="169" spans="3:20" ht="12.75">
      <c r="C169" s="134" t="s">
        <v>411</v>
      </c>
      <c r="D169" s="132">
        <v>164</v>
      </c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S169" s="144" t="s">
        <v>301</v>
      </c>
      <c r="T169" s="145" t="s">
        <v>88</v>
      </c>
    </row>
    <row r="170" spans="3:20" ht="12.75">
      <c r="C170" s="135" t="s">
        <v>179</v>
      </c>
      <c r="D170" s="157">
        <v>165</v>
      </c>
      <c r="E170" s="148">
        <f aca="true" t="shared" si="0" ref="E170:O170">ROUND(SUM(E6:E169),3)</f>
        <v>0</v>
      </c>
      <c r="F170" s="148">
        <f t="shared" si="0"/>
        <v>0</v>
      </c>
      <c r="G170" s="148">
        <f t="shared" si="0"/>
        <v>0</v>
      </c>
      <c r="H170" s="148">
        <f t="shared" si="0"/>
        <v>0</v>
      </c>
      <c r="I170" s="148">
        <f t="shared" si="0"/>
        <v>0</v>
      </c>
      <c r="J170" s="148">
        <f t="shared" si="0"/>
        <v>0</v>
      </c>
      <c r="K170" s="148">
        <f t="shared" si="0"/>
        <v>0</v>
      </c>
      <c r="L170" s="148">
        <f t="shared" si="0"/>
        <v>0</v>
      </c>
      <c r="M170" s="148">
        <f t="shared" si="0"/>
        <v>0</v>
      </c>
      <c r="N170" s="148">
        <f t="shared" si="0"/>
        <v>0</v>
      </c>
      <c r="O170" s="148">
        <f t="shared" si="0"/>
        <v>0</v>
      </c>
      <c r="S170" s="146" t="s">
        <v>300</v>
      </c>
      <c r="T170" s="147" t="s">
        <v>650</v>
      </c>
    </row>
    <row r="171" spans="3:4" ht="12.75">
      <c r="C171" s="136" t="s">
        <v>678</v>
      </c>
      <c r="D171" s="137"/>
    </row>
    <row r="172" spans="3:4" ht="12.75">
      <c r="C172" s="138" t="s">
        <v>679</v>
      </c>
      <c r="D172" s="137"/>
    </row>
    <row r="173" spans="3:4" ht="12.75">
      <c r="C173" s="138" t="s">
        <v>515</v>
      </c>
      <c r="D173" s="137"/>
    </row>
    <row r="174" spans="3:15" ht="12.75">
      <c r="C174" s="139" t="s">
        <v>343</v>
      </c>
      <c r="D174"/>
      <c r="E174" s="140" t="s">
        <v>150</v>
      </c>
      <c r="F174" s="140" t="s">
        <v>5</v>
      </c>
      <c r="G174" s="140" t="s">
        <v>6</v>
      </c>
      <c r="H174" s="140" t="s">
        <v>7</v>
      </c>
      <c r="I174" s="140" t="s">
        <v>8</v>
      </c>
      <c r="J174" s="140" t="s">
        <v>151</v>
      </c>
      <c r="K174" s="140" t="s">
        <v>9</v>
      </c>
      <c r="L174" s="140" t="s">
        <v>152</v>
      </c>
      <c r="M174" s="141" t="s">
        <v>153</v>
      </c>
      <c r="N174" s="141" t="s">
        <v>245</v>
      </c>
      <c r="O174" s="141" t="s">
        <v>380</v>
      </c>
    </row>
  </sheetData>
  <sheetProtection/>
  <mergeCells count="1">
    <mergeCell ref="E1:O1"/>
  </mergeCells>
  <conditionalFormatting sqref="E6:O169">
    <cfRule type="cellIs" priority="4" dxfId="0" operator="notEqual" stopIfTrue="1">
      <formula>Z6</formula>
    </cfRule>
  </conditionalFormatting>
  <conditionalFormatting sqref="E170:O170">
    <cfRule type="cellIs" priority="1" dxfId="0" operator="notEqual" stopIfTrue="1">
      <formula>AD170</formula>
    </cfRule>
  </conditionalFormatting>
  <dataValidations count="1">
    <dataValidation type="decimal" operator="greaterThanOrEqual" allowBlank="1" showInputMessage="1" showErrorMessage="1" error="Numbers up to 3 decimal digits only/ Numéros jusqu'à 3 chiffres décimaux uniquement" sqref="E6:O16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32" r:id="rId1"/>
  <headerFooter alignWithMargins="0">
    <oddFooter>&amp;LInternational Energy Agency&amp;CEnergy Statistics Division&amp;RAnnual Coal Mini Questionnaire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4">
    <pageSetUpPr fitToPage="1"/>
  </sheetPr>
  <dimension ref="A1:W174"/>
  <sheetViews>
    <sheetView showGridLines="0" zoomScale="80" zoomScaleNormal="80" zoomScalePageLayoutView="0" workbookViewId="0" topLeftCell="A1">
      <pane xSplit="4" ySplit="5" topLeftCell="E6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173" sqref="C173"/>
    </sheetView>
  </sheetViews>
  <sheetFormatPr defaultColWidth="9.140625" defaultRowHeight="12.75"/>
  <cols>
    <col min="1" max="2" width="1.7109375" style="24" customWidth="1"/>
    <col min="3" max="3" width="34.28125" style="24" customWidth="1"/>
    <col min="4" max="4" width="4.57421875" style="24" bestFit="1" customWidth="1"/>
    <col min="5" max="15" width="10.7109375" style="24" customWidth="1"/>
    <col min="16" max="17" width="9.140625" style="24" customWidth="1"/>
    <col min="18" max="21" width="7.57421875" style="24" customWidth="1"/>
    <col min="22" max="16384" width="9.140625" style="24" customWidth="1"/>
  </cols>
  <sheetData>
    <row r="1" spans="2:20" ht="25.5" customHeight="1">
      <c r="B1" s="27"/>
      <c r="C1" s="28" t="str">
        <f>Data!B1</f>
        <v>Australia</v>
      </c>
      <c r="D1" s="43"/>
      <c r="E1" s="202" t="s">
        <v>91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T1" s="73" t="s">
        <v>235</v>
      </c>
    </row>
    <row r="2" spans="3:20" ht="12.75">
      <c r="C2" s="31"/>
      <c r="D2" s="32"/>
      <c r="E2" s="33" t="s">
        <v>150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151</v>
      </c>
      <c r="K2" s="33" t="s">
        <v>9</v>
      </c>
      <c r="L2" s="33" t="s">
        <v>152</v>
      </c>
      <c r="M2" s="128" t="s">
        <v>153</v>
      </c>
      <c r="N2" s="128" t="s">
        <v>381</v>
      </c>
      <c r="O2" s="33" t="s">
        <v>380</v>
      </c>
      <c r="T2" s="72" t="s">
        <v>187</v>
      </c>
    </row>
    <row r="3" spans="3:15" ht="65.25">
      <c r="C3" s="30" t="str">
        <f>NOTES!C6</f>
        <v>2021p</v>
      </c>
      <c r="D3" s="32"/>
      <c r="E3" s="34" t="s">
        <v>149</v>
      </c>
      <c r="F3" s="34" t="s">
        <v>367</v>
      </c>
      <c r="G3" s="34" t="s">
        <v>368</v>
      </c>
      <c r="H3" s="34" t="s">
        <v>369</v>
      </c>
      <c r="I3" s="26" t="s">
        <v>386</v>
      </c>
      <c r="J3" s="26" t="s">
        <v>370</v>
      </c>
      <c r="K3" s="34" t="s">
        <v>371</v>
      </c>
      <c r="L3" s="34" t="s">
        <v>372</v>
      </c>
      <c r="M3" s="34" t="s">
        <v>387</v>
      </c>
      <c r="N3" s="34" t="s">
        <v>382</v>
      </c>
      <c r="O3" s="34" t="s">
        <v>383</v>
      </c>
    </row>
    <row r="4" spans="3:15" ht="12.75">
      <c r="C4" s="35"/>
      <c r="D4" s="32"/>
      <c r="E4" s="36"/>
      <c r="F4" s="36"/>
      <c r="G4" s="36"/>
      <c r="H4" s="36"/>
      <c r="I4" s="36"/>
      <c r="J4" s="36"/>
      <c r="K4" s="45"/>
      <c r="L4" s="37"/>
      <c r="M4" s="36"/>
      <c r="N4" s="36"/>
      <c r="O4" s="36"/>
    </row>
    <row r="5" spans="4:20" ht="12.75">
      <c r="D5" s="25"/>
      <c r="E5" s="38" t="s">
        <v>10</v>
      </c>
      <c r="F5" s="38" t="s">
        <v>11</v>
      </c>
      <c r="G5" s="38" t="s">
        <v>12</v>
      </c>
      <c r="H5" s="38" t="s">
        <v>13</v>
      </c>
      <c r="I5" s="38" t="s">
        <v>14</v>
      </c>
      <c r="J5" s="38" t="s">
        <v>146</v>
      </c>
      <c r="K5" s="38" t="s">
        <v>147</v>
      </c>
      <c r="L5" s="38" t="s">
        <v>148</v>
      </c>
      <c r="M5" s="38" t="s">
        <v>156</v>
      </c>
      <c r="N5" s="38" t="s">
        <v>156</v>
      </c>
      <c r="O5" s="38" t="s">
        <v>156</v>
      </c>
      <c r="S5" s="77"/>
      <c r="T5" s="78" t="s">
        <v>236</v>
      </c>
    </row>
    <row r="6" spans="1:23" ht="12.75">
      <c r="A6" s="39"/>
      <c r="B6" s="46"/>
      <c r="C6" s="131" t="s">
        <v>16</v>
      </c>
      <c r="D6" s="132">
        <v>1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S6" s="142" t="s">
        <v>250</v>
      </c>
      <c r="T6" s="143" t="s">
        <v>15</v>
      </c>
      <c r="W6"/>
    </row>
    <row r="7" spans="1:23" ht="12.75">
      <c r="A7" s="39"/>
      <c r="B7" s="46"/>
      <c r="C7" s="131" t="s">
        <v>93</v>
      </c>
      <c r="D7" s="132">
        <v>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S7" s="144" t="s">
        <v>262</v>
      </c>
      <c r="T7" s="145" t="s">
        <v>92</v>
      </c>
      <c r="W7"/>
    </row>
    <row r="8" spans="1:23" ht="12.75">
      <c r="A8" s="39"/>
      <c r="B8" s="46"/>
      <c r="C8" s="131" t="s">
        <v>442</v>
      </c>
      <c r="D8" s="132">
        <v>3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S8" s="144" t="s">
        <v>516</v>
      </c>
      <c r="T8" s="145" t="s">
        <v>517</v>
      </c>
      <c r="W8"/>
    </row>
    <row r="9" spans="1:23" ht="12.75">
      <c r="A9" s="39"/>
      <c r="B9" s="46"/>
      <c r="C9" s="131" t="s">
        <v>443</v>
      </c>
      <c r="D9" s="132">
        <v>4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S9" s="144" t="s">
        <v>518</v>
      </c>
      <c r="T9" s="145" t="s">
        <v>519</v>
      </c>
      <c r="W9"/>
    </row>
    <row r="10" spans="1:23" ht="12.75">
      <c r="A10" s="39"/>
      <c r="B10" s="46"/>
      <c r="C10" s="131" t="s">
        <v>95</v>
      </c>
      <c r="D10" s="132">
        <v>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S10" s="144" t="s">
        <v>252</v>
      </c>
      <c r="T10" s="145" t="s">
        <v>94</v>
      </c>
      <c r="W10"/>
    </row>
    <row r="11" spans="1:23" ht="12.75">
      <c r="A11" s="39"/>
      <c r="B11" s="46"/>
      <c r="C11" s="131" t="s">
        <v>158</v>
      </c>
      <c r="D11" s="132">
        <v>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S11" s="144" t="s">
        <v>251</v>
      </c>
      <c r="T11" s="145" t="s">
        <v>65</v>
      </c>
      <c r="W11"/>
    </row>
    <row r="12" spans="1:23" ht="12.75">
      <c r="A12" s="39"/>
      <c r="B12" s="46"/>
      <c r="C12" s="131" t="s">
        <v>444</v>
      </c>
      <c r="D12" s="132">
        <v>7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S12" s="144" t="s">
        <v>520</v>
      </c>
      <c r="T12" s="145" t="s">
        <v>521</v>
      </c>
      <c r="W12"/>
    </row>
    <row r="13" spans="1:23" ht="12.75">
      <c r="A13" s="39"/>
      <c r="B13" s="46"/>
      <c r="C13" s="131" t="s">
        <v>159</v>
      </c>
      <c r="D13" s="132">
        <v>8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S13" s="144" t="s">
        <v>195</v>
      </c>
      <c r="T13" s="145" t="s">
        <v>17</v>
      </c>
      <c r="W13"/>
    </row>
    <row r="14" spans="1:23" ht="12.75">
      <c r="A14" s="39"/>
      <c r="B14" s="46"/>
      <c r="C14" s="131" t="s">
        <v>160</v>
      </c>
      <c r="D14" s="132">
        <v>9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S14" s="144" t="s">
        <v>196</v>
      </c>
      <c r="T14" s="145" t="s">
        <v>18</v>
      </c>
      <c r="W14"/>
    </row>
    <row r="15" spans="1:20" s="40" customFormat="1" ht="12.75">
      <c r="A15" s="39"/>
      <c r="B15" s="46"/>
      <c r="C15" s="131" t="s">
        <v>161</v>
      </c>
      <c r="D15" s="132">
        <v>10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S15" s="144" t="s">
        <v>253</v>
      </c>
      <c r="T15" s="145" t="s">
        <v>66</v>
      </c>
    </row>
    <row r="16" spans="1:20" s="41" customFormat="1" ht="12.75">
      <c r="A16" s="39"/>
      <c r="B16" s="46"/>
      <c r="C16" s="131" t="s">
        <v>445</v>
      </c>
      <c r="D16" s="132">
        <v>11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S16" s="144" t="s">
        <v>522</v>
      </c>
      <c r="T16" s="145" t="s">
        <v>523</v>
      </c>
    </row>
    <row r="17" spans="1:20" s="41" customFormat="1" ht="12.75">
      <c r="A17" s="39"/>
      <c r="B17" s="46"/>
      <c r="C17" s="131" t="s">
        <v>446</v>
      </c>
      <c r="D17" s="132">
        <v>12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S17" s="144" t="s">
        <v>524</v>
      </c>
      <c r="T17" s="145" t="s">
        <v>525</v>
      </c>
    </row>
    <row r="18" spans="1:23" ht="12.75">
      <c r="A18" s="39"/>
      <c r="B18" s="46"/>
      <c r="C18" s="131" t="s">
        <v>447</v>
      </c>
      <c r="D18" s="132">
        <v>13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S18" s="144" t="s">
        <v>526</v>
      </c>
      <c r="T18" s="145" t="s">
        <v>527</v>
      </c>
      <c r="W18"/>
    </row>
    <row r="19" spans="1:23" ht="12.75">
      <c r="A19" s="39"/>
      <c r="B19" s="46"/>
      <c r="C19" s="131" t="s">
        <v>448</v>
      </c>
      <c r="D19" s="132">
        <v>14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S19" s="144" t="s">
        <v>528</v>
      </c>
      <c r="T19" s="145" t="s">
        <v>529</v>
      </c>
      <c r="U19" s="42"/>
      <c r="W19"/>
    </row>
    <row r="20" spans="1:23" ht="12.75">
      <c r="A20" s="39"/>
      <c r="B20" s="46"/>
      <c r="C20" s="131" t="s">
        <v>162</v>
      </c>
      <c r="D20" s="132">
        <v>15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S20" s="144" t="s">
        <v>257</v>
      </c>
      <c r="T20" s="145" t="s">
        <v>67</v>
      </c>
      <c r="W20"/>
    </row>
    <row r="21" spans="1:23" ht="12.75">
      <c r="A21" s="39"/>
      <c r="B21" s="46"/>
      <c r="C21" s="131" t="s">
        <v>163</v>
      </c>
      <c r="D21" s="132">
        <v>16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S21" s="144" t="s">
        <v>197</v>
      </c>
      <c r="T21" s="145" t="s">
        <v>19</v>
      </c>
      <c r="W21"/>
    </row>
    <row r="22" spans="1:23" ht="12.75">
      <c r="A22" s="39"/>
      <c r="B22" s="46"/>
      <c r="C22" s="131" t="s">
        <v>449</v>
      </c>
      <c r="D22" s="132">
        <v>17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S22" s="144" t="s">
        <v>530</v>
      </c>
      <c r="T22" s="145" t="s">
        <v>531</v>
      </c>
      <c r="W22"/>
    </row>
    <row r="23" spans="1:23" s="42" customFormat="1" ht="12.75">
      <c r="A23" s="116"/>
      <c r="B23" s="117"/>
      <c r="C23" s="131" t="s">
        <v>450</v>
      </c>
      <c r="D23" s="132">
        <v>18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S23" s="151" t="s">
        <v>532</v>
      </c>
      <c r="T23" s="152" t="s">
        <v>533</v>
      </c>
      <c r="W23" s="118"/>
    </row>
    <row r="24" spans="1:23" s="42" customFormat="1" ht="12.75">
      <c r="A24" s="116"/>
      <c r="B24" s="117"/>
      <c r="C24" s="131" t="s">
        <v>451</v>
      </c>
      <c r="D24" s="132">
        <v>19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S24" s="151" t="s">
        <v>534</v>
      </c>
      <c r="T24" s="152" t="s">
        <v>535</v>
      </c>
      <c r="W24" s="118"/>
    </row>
    <row r="25" spans="1:23" s="42" customFormat="1" ht="12.75">
      <c r="A25" s="116"/>
      <c r="B25" s="117"/>
      <c r="C25" s="131" t="s">
        <v>164</v>
      </c>
      <c r="D25" s="132">
        <v>20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S25" s="151" t="s">
        <v>254</v>
      </c>
      <c r="T25" s="152" t="s">
        <v>84</v>
      </c>
      <c r="W25" s="118"/>
    </row>
    <row r="26" spans="1:23" s="42" customFormat="1" ht="12.75">
      <c r="A26" s="116"/>
      <c r="B26" s="117"/>
      <c r="C26" s="131" t="s">
        <v>97</v>
      </c>
      <c r="D26" s="132">
        <v>21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S26" s="151" t="s">
        <v>256</v>
      </c>
      <c r="T26" s="152" t="s">
        <v>96</v>
      </c>
      <c r="W26" s="118"/>
    </row>
    <row r="27" spans="1:23" s="42" customFormat="1" ht="12.75">
      <c r="A27" s="116"/>
      <c r="B27" s="117"/>
      <c r="C27" s="131" t="s">
        <v>452</v>
      </c>
      <c r="D27" s="132">
        <v>22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S27" s="151" t="s">
        <v>536</v>
      </c>
      <c r="T27" s="152" t="s">
        <v>537</v>
      </c>
      <c r="W27" s="118"/>
    </row>
    <row r="28" spans="1:23" s="42" customFormat="1" ht="12.75">
      <c r="A28" s="116"/>
      <c r="B28" s="117"/>
      <c r="C28" s="133" t="s">
        <v>453</v>
      </c>
      <c r="D28" s="132">
        <v>23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S28" s="151" t="s">
        <v>538</v>
      </c>
      <c r="T28" s="152" t="s">
        <v>539</v>
      </c>
      <c r="W28" s="118"/>
    </row>
    <row r="29" spans="1:23" s="42" customFormat="1" ht="12.75">
      <c r="A29" s="116"/>
      <c r="B29" s="117"/>
      <c r="C29" s="131" t="s">
        <v>21</v>
      </c>
      <c r="D29" s="132">
        <v>24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S29" s="151" t="s">
        <v>255</v>
      </c>
      <c r="T29" s="152" t="s">
        <v>20</v>
      </c>
      <c r="W29" s="118"/>
    </row>
    <row r="30" spans="1:23" s="42" customFormat="1" ht="12.75">
      <c r="A30" s="116"/>
      <c r="B30" s="117"/>
      <c r="C30" s="131" t="s">
        <v>454</v>
      </c>
      <c r="D30" s="132">
        <v>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S30" s="151" t="s">
        <v>540</v>
      </c>
      <c r="T30" s="152" t="s">
        <v>541</v>
      </c>
      <c r="W30" s="118"/>
    </row>
    <row r="31" spans="1:23" s="42" customFormat="1" ht="12.75">
      <c r="A31" s="116"/>
      <c r="B31" s="117"/>
      <c r="C31" s="131" t="s">
        <v>455</v>
      </c>
      <c r="D31" s="132">
        <v>26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S31" s="151" t="s">
        <v>542</v>
      </c>
      <c r="T31" s="152" t="s">
        <v>543</v>
      </c>
      <c r="W31" s="118"/>
    </row>
    <row r="32" spans="1:23" s="42" customFormat="1" ht="12.75">
      <c r="A32" s="116"/>
      <c r="B32" s="117"/>
      <c r="C32" s="131" t="s">
        <v>98</v>
      </c>
      <c r="D32" s="132">
        <v>27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S32" s="151" t="s">
        <v>198</v>
      </c>
      <c r="T32" s="152" t="s">
        <v>22</v>
      </c>
      <c r="W32" s="118"/>
    </row>
    <row r="33" spans="1:23" s="42" customFormat="1" ht="12.75">
      <c r="A33" s="116"/>
      <c r="B33" s="117"/>
      <c r="C33" s="131" t="s">
        <v>456</v>
      </c>
      <c r="D33" s="132">
        <v>28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S33" s="151" t="s">
        <v>544</v>
      </c>
      <c r="T33" s="152" t="s">
        <v>545</v>
      </c>
      <c r="W33" s="118"/>
    </row>
    <row r="34" spans="1:23" s="42" customFormat="1" ht="12.75">
      <c r="A34" s="116"/>
      <c r="B34" s="117"/>
      <c r="C34" s="131" t="s">
        <v>100</v>
      </c>
      <c r="D34" s="132">
        <v>29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S34" s="151" t="s">
        <v>258</v>
      </c>
      <c r="T34" s="152" t="s">
        <v>99</v>
      </c>
      <c r="W34" s="118"/>
    </row>
    <row r="35" spans="1:23" s="42" customFormat="1" ht="12.75">
      <c r="A35" s="116"/>
      <c r="B35" s="117"/>
      <c r="C35" s="131" t="s">
        <v>457</v>
      </c>
      <c r="D35" s="132">
        <v>30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S35" s="151" t="s">
        <v>259</v>
      </c>
      <c r="T35" s="152" t="s">
        <v>23</v>
      </c>
      <c r="W35" s="118"/>
    </row>
    <row r="36" spans="1:23" s="42" customFormat="1" ht="12.75">
      <c r="A36" s="116"/>
      <c r="B36" s="117"/>
      <c r="C36" s="131" t="s">
        <v>25</v>
      </c>
      <c r="D36" s="132">
        <v>31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S36" s="151" t="s">
        <v>260</v>
      </c>
      <c r="T36" s="152" t="s">
        <v>24</v>
      </c>
      <c r="W36" s="118"/>
    </row>
    <row r="37" spans="1:23" s="42" customFormat="1" ht="12.75">
      <c r="A37" s="116"/>
      <c r="B37" s="117"/>
      <c r="C37" s="131" t="s">
        <v>458</v>
      </c>
      <c r="D37" s="132">
        <v>32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S37" s="151" t="s">
        <v>546</v>
      </c>
      <c r="T37" s="152" t="s">
        <v>547</v>
      </c>
      <c r="W37" s="118"/>
    </row>
    <row r="38" spans="1:23" s="42" customFormat="1" ht="12.75">
      <c r="A38" s="116"/>
      <c r="B38" s="117"/>
      <c r="C38" s="131" t="s">
        <v>459</v>
      </c>
      <c r="D38" s="132">
        <v>33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S38" s="151" t="s">
        <v>548</v>
      </c>
      <c r="T38" s="152" t="s">
        <v>549</v>
      </c>
      <c r="W38" s="118"/>
    </row>
    <row r="39" spans="1:23" s="42" customFormat="1" ht="12.75">
      <c r="A39" s="116"/>
      <c r="B39" s="117"/>
      <c r="C39" s="131" t="s">
        <v>460</v>
      </c>
      <c r="D39" s="132">
        <v>34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S39" s="151" t="s">
        <v>550</v>
      </c>
      <c r="T39" s="152" t="s">
        <v>551</v>
      </c>
      <c r="V39" s="151"/>
      <c r="W39" s="152"/>
    </row>
    <row r="40" spans="1:23" s="42" customFormat="1" ht="12.75">
      <c r="A40" s="116"/>
      <c r="B40" s="117"/>
      <c r="C40" s="131" t="s">
        <v>165</v>
      </c>
      <c r="D40" s="132">
        <v>35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S40" s="151" t="s">
        <v>267</v>
      </c>
      <c r="T40" s="152" t="s">
        <v>85</v>
      </c>
      <c r="W40" s="118"/>
    </row>
    <row r="41" spans="1:23" s="42" customFormat="1" ht="12.75">
      <c r="A41" s="116"/>
      <c r="B41" s="117"/>
      <c r="C41" s="131" t="s">
        <v>461</v>
      </c>
      <c r="D41" s="132">
        <v>36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S41" s="151" t="s">
        <v>552</v>
      </c>
      <c r="T41" s="152" t="s">
        <v>553</v>
      </c>
      <c r="W41" s="118"/>
    </row>
    <row r="42" spans="1:23" s="42" customFormat="1" ht="12.75">
      <c r="A42" s="116"/>
      <c r="B42" s="117"/>
      <c r="C42" s="131" t="s">
        <v>462</v>
      </c>
      <c r="D42" s="132">
        <v>37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S42" s="151" t="s">
        <v>554</v>
      </c>
      <c r="T42" s="152" t="s">
        <v>555</v>
      </c>
      <c r="W42" s="118"/>
    </row>
    <row r="43" spans="1:23" s="42" customFormat="1" ht="12.75">
      <c r="A43" s="116"/>
      <c r="B43" s="117"/>
      <c r="C43" s="131" t="s">
        <v>102</v>
      </c>
      <c r="D43" s="132">
        <v>38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S43" s="151" t="s">
        <v>261</v>
      </c>
      <c r="T43" s="152" t="s">
        <v>101</v>
      </c>
      <c r="W43" s="118"/>
    </row>
    <row r="44" spans="1:23" s="42" customFormat="1" ht="12.75">
      <c r="A44" s="116"/>
      <c r="B44" s="117"/>
      <c r="C44" s="131" t="s">
        <v>26</v>
      </c>
      <c r="D44" s="132">
        <v>39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S44" s="151" t="s">
        <v>199</v>
      </c>
      <c r="T44" s="152" t="s">
        <v>180</v>
      </c>
      <c r="W44" s="118"/>
    </row>
    <row r="45" spans="1:23" s="42" customFormat="1" ht="12.75">
      <c r="A45" s="116"/>
      <c r="B45" s="117"/>
      <c r="C45" s="131" t="s">
        <v>463</v>
      </c>
      <c r="D45" s="132">
        <v>40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S45" s="151" t="s">
        <v>272</v>
      </c>
      <c r="T45" s="152" t="s">
        <v>181</v>
      </c>
      <c r="W45" s="118"/>
    </row>
    <row r="46" spans="1:23" s="42" customFormat="1" ht="12.75">
      <c r="A46" s="116"/>
      <c r="B46" s="117"/>
      <c r="C46" s="131" t="s">
        <v>464</v>
      </c>
      <c r="D46" s="132">
        <v>41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S46" s="151" t="s">
        <v>556</v>
      </c>
      <c r="T46" s="152" t="s">
        <v>557</v>
      </c>
      <c r="W46" s="118"/>
    </row>
    <row r="47" spans="1:23" s="42" customFormat="1" ht="12.75">
      <c r="A47" s="116"/>
      <c r="B47" s="117"/>
      <c r="C47" s="131" t="s">
        <v>103</v>
      </c>
      <c r="D47" s="132">
        <v>42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S47" s="151" t="s">
        <v>200</v>
      </c>
      <c r="T47" s="152" t="s">
        <v>27</v>
      </c>
      <c r="W47" s="118"/>
    </row>
    <row r="48" spans="1:23" s="42" customFormat="1" ht="12.75">
      <c r="A48" s="116"/>
      <c r="B48" s="117"/>
      <c r="C48" s="131" t="s">
        <v>465</v>
      </c>
      <c r="D48" s="132">
        <v>43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S48" s="151" t="s">
        <v>558</v>
      </c>
      <c r="T48" s="152" t="s">
        <v>559</v>
      </c>
      <c r="W48" s="118"/>
    </row>
    <row r="49" spans="1:23" s="42" customFormat="1" ht="12.75">
      <c r="A49" s="116"/>
      <c r="B49" s="117"/>
      <c r="C49" s="131" t="s">
        <v>397</v>
      </c>
      <c r="D49" s="132">
        <v>44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S49" s="151" t="s">
        <v>412</v>
      </c>
      <c r="T49" s="152" t="s">
        <v>413</v>
      </c>
      <c r="W49" s="118"/>
    </row>
    <row r="50" spans="1:23" s="42" customFormat="1" ht="12.75">
      <c r="A50" s="116"/>
      <c r="B50" s="117"/>
      <c r="C50" s="131" t="s">
        <v>466</v>
      </c>
      <c r="D50" s="132">
        <v>45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S50" s="151" t="s">
        <v>560</v>
      </c>
      <c r="T50" s="152" t="s">
        <v>561</v>
      </c>
      <c r="W50" s="118"/>
    </row>
    <row r="51" spans="1:20" s="153" customFormat="1" ht="12.75">
      <c r="A51" s="116"/>
      <c r="B51" s="117"/>
      <c r="C51" s="131" t="s">
        <v>105</v>
      </c>
      <c r="D51" s="132">
        <v>46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S51" s="151" t="s">
        <v>264</v>
      </c>
      <c r="T51" s="152" t="s">
        <v>104</v>
      </c>
    </row>
    <row r="52" spans="1:23" s="42" customFormat="1" ht="12.75">
      <c r="A52" s="116"/>
      <c r="B52" s="117"/>
      <c r="C52" s="131" t="s">
        <v>467</v>
      </c>
      <c r="D52" s="132">
        <v>47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S52" s="151" t="s">
        <v>562</v>
      </c>
      <c r="T52" s="152" t="s">
        <v>649</v>
      </c>
      <c r="W52" s="118"/>
    </row>
    <row r="53" spans="1:23" s="42" customFormat="1" ht="12.75">
      <c r="A53" s="116"/>
      <c r="B53" s="117"/>
      <c r="C53" s="131" t="s">
        <v>468</v>
      </c>
      <c r="D53" s="132">
        <v>48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S53" s="151" t="s">
        <v>563</v>
      </c>
      <c r="T53" s="152" t="s">
        <v>564</v>
      </c>
      <c r="W53" s="118"/>
    </row>
    <row r="54" spans="1:23" s="42" customFormat="1" ht="12.75">
      <c r="A54" s="116"/>
      <c r="B54" s="117"/>
      <c r="C54" s="131" t="s">
        <v>166</v>
      </c>
      <c r="D54" s="132">
        <v>49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S54" s="151" t="s">
        <v>263</v>
      </c>
      <c r="T54" s="152" t="s">
        <v>68</v>
      </c>
      <c r="W54" s="118"/>
    </row>
    <row r="55" spans="1:23" s="42" customFormat="1" ht="12.75">
      <c r="A55" s="116"/>
      <c r="B55" s="117"/>
      <c r="C55" s="131" t="s">
        <v>398</v>
      </c>
      <c r="D55" s="132">
        <v>50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S55" s="151" t="s">
        <v>415</v>
      </c>
      <c r="T55" s="152" t="s">
        <v>414</v>
      </c>
      <c r="W55" s="118"/>
    </row>
    <row r="56" spans="1:23" s="42" customFormat="1" ht="12.75">
      <c r="A56" s="116"/>
      <c r="B56" s="117"/>
      <c r="C56" s="131" t="s">
        <v>106</v>
      </c>
      <c r="D56" s="132">
        <v>51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S56" s="151" t="s">
        <v>201</v>
      </c>
      <c r="T56" s="152" t="s">
        <v>28</v>
      </c>
      <c r="W56" s="118"/>
    </row>
    <row r="57" spans="1:23" s="42" customFormat="1" ht="12.75">
      <c r="A57" s="116"/>
      <c r="B57" s="117"/>
      <c r="C57" s="131" t="s">
        <v>4</v>
      </c>
      <c r="D57" s="132">
        <v>52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S57" s="151" t="s">
        <v>202</v>
      </c>
      <c r="T57" s="152" t="s">
        <v>29</v>
      </c>
      <c r="W57" s="118"/>
    </row>
    <row r="58" spans="1:23" s="42" customFormat="1" ht="12.75">
      <c r="A58" s="116"/>
      <c r="B58" s="117"/>
      <c r="C58" s="131" t="s">
        <v>469</v>
      </c>
      <c r="D58" s="132">
        <v>53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S58" s="151" t="s">
        <v>565</v>
      </c>
      <c r="T58" s="152" t="s">
        <v>566</v>
      </c>
      <c r="W58" s="118"/>
    </row>
    <row r="59" spans="1:23" s="42" customFormat="1" ht="12.75">
      <c r="A59" s="116"/>
      <c r="B59" s="117"/>
      <c r="C59" s="131" t="s">
        <v>167</v>
      </c>
      <c r="D59" s="132">
        <v>54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S59" s="151" t="s">
        <v>265</v>
      </c>
      <c r="T59" s="152" t="s">
        <v>69</v>
      </c>
      <c r="W59" s="118"/>
    </row>
    <row r="60" spans="1:23" s="42" customFormat="1" ht="12.75">
      <c r="A60" s="116"/>
      <c r="B60" s="117"/>
      <c r="C60" s="131" t="s">
        <v>107</v>
      </c>
      <c r="D60" s="132">
        <v>55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S60" s="151" t="s">
        <v>203</v>
      </c>
      <c r="T60" s="152" t="s">
        <v>30</v>
      </c>
      <c r="W60" s="118"/>
    </row>
    <row r="61" spans="1:23" s="42" customFormat="1" ht="12.75">
      <c r="A61" s="116"/>
      <c r="B61" s="117"/>
      <c r="C61" s="131" t="s">
        <v>470</v>
      </c>
      <c r="D61" s="132">
        <v>56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S61" s="151" t="s">
        <v>567</v>
      </c>
      <c r="T61" s="152" t="s">
        <v>568</v>
      </c>
      <c r="W61" s="118"/>
    </row>
    <row r="62" spans="1:23" s="42" customFormat="1" ht="12.75">
      <c r="A62" s="116"/>
      <c r="B62" s="117"/>
      <c r="C62" s="131" t="s">
        <v>471</v>
      </c>
      <c r="D62" s="132">
        <v>57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S62" s="151" t="s">
        <v>569</v>
      </c>
      <c r="T62" s="152" t="s">
        <v>570</v>
      </c>
      <c r="W62" s="118"/>
    </row>
    <row r="63" spans="1:23" s="42" customFormat="1" ht="12.75">
      <c r="A63" s="116"/>
      <c r="B63" s="117"/>
      <c r="C63" s="131" t="s">
        <v>108</v>
      </c>
      <c r="D63" s="132">
        <v>58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S63" s="151" t="s">
        <v>204</v>
      </c>
      <c r="T63" s="152" t="s">
        <v>31</v>
      </c>
      <c r="W63" s="118"/>
    </row>
    <row r="64" spans="1:23" s="42" customFormat="1" ht="12.75">
      <c r="A64" s="116"/>
      <c r="B64" s="117"/>
      <c r="C64" s="131" t="s">
        <v>399</v>
      </c>
      <c r="D64" s="132">
        <v>59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S64" s="151" t="s">
        <v>416</v>
      </c>
      <c r="T64" s="152" t="s">
        <v>417</v>
      </c>
      <c r="W64" s="118"/>
    </row>
    <row r="65" spans="1:23" s="42" customFormat="1" ht="12.75">
      <c r="A65" s="116"/>
      <c r="B65" s="117"/>
      <c r="C65" s="131" t="s">
        <v>472</v>
      </c>
      <c r="D65" s="132">
        <v>60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S65" s="151" t="s">
        <v>571</v>
      </c>
      <c r="T65" s="152" t="s">
        <v>572</v>
      </c>
      <c r="W65" s="118"/>
    </row>
    <row r="66" spans="1:23" s="42" customFormat="1" ht="12.75">
      <c r="A66" s="116"/>
      <c r="B66" s="117"/>
      <c r="C66" s="131" t="s">
        <v>473</v>
      </c>
      <c r="D66" s="132">
        <v>61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S66" s="151" t="s">
        <v>573</v>
      </c>
      <c r="T66" s="152" t="s">
        <v>574</v>
      </c>
      <c r="W66" s="118"/>
    </row>
    <row r="67" spans="1:23" s="42" customFormat="1" ht="12.75">
      <c r="A67" s="116"/>
      <c r="B67" s="117"/>
      <c r="C67" s="131" t="s">
        <v>474</v>
      </c>
      <c r="D67" s="132">
        <v>62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S67" s="151" t="s">
        <v>266</v>
      </c>
      <c r="T67" s="152" t="s">
        <v>109</v>
      </c>
      <c r="W67" s="118"/>
    </row>
    <row r="68" spans="1:23" s="42" customFormat="1" ht="12.75">
      <c r="A68" s="116"/>
      <c r="B68" s="117"/>
      <c r="C68" s="131" t="s">
        <v>33</v>
      </c>
      <c r="D68" s="132">
        <v>63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S68" s="151" t="s">
        <v>205</v>
      </c>
      <c r="T68" s="152" t="s">
        <v>32</v>
      </c>
      <c r="W68" s="118"/>
    </row>
    <row r="69" spans="1:23" s="42" customFormat="1" ht="12.75">
      <c r="A69" s="116"/>
      <c r="B69" s="117"/>
      <c r="C69" s="131" t="s">
        <v>35</v>
      </c>
      <c r="D69" s="132">
        <v>64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S69" s="151" t="s">
        <v>206</v>
      </c>
      <c r="T69" s="152" t="s">
        <v>34</v>
      </c>
      <c r="W69" s="118"/>
    </row>
    <row r="70" spans="1:23" s="42" customFormat="1" ht="12.75">
      <c r="A70" s="116"/>
      <c r="B70" s="117"/>
      <c r="C70" s="131" t="s">
        <v>111</v>
      </c>
      <c r="D70" s="132">
        <v>65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S70" s="151" t="s">
        <v>270</v>
      </c>
      <c r="T70" s="152" t="s">
        <v>110</v>
      </c>
      <c r="W70" s="118"/>
    </row>
    <row r="71" spans="1:23" s="42" customFormat="1" ht="12.75">
      <c r="A71" s="116"/>
      <c r="B71" s="117"/>
      <c r="C71" s="131" t="s">
        <v>37</v>
      </c>
      <c r="D71" s="132">
        <v>66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S71" s="151" t="s">
        <v>268</v>
      </c>
      <c r="T71" s="152" t="s">
        <v>36</v>
      </c>
      <c r="W71" s="118"/>
    </row>
    <row r="72" spans="1:20" s="153" customFormat="1" ht="12.75">
      <c r="A72" s="116"/>
      <c r="B72" s="117"/>
      <c r="C72" s="131" t="s">
        <v>475</v>
      </c>
      <c r="D72" s="132">
        <v>67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S72" s="151" t="s">
        <v>419</v>
      </c>
      <c r="T72" s="152" t="s">
        <v>418</v>
      </c>
    </row>
    <row r="73" spans="1:23" s="42" customFormat="1" ht="12.75">
      <c r="A73" s="116"/>
      <c r="B73" s="117"/>
      <c r="C73" s="131" t="s">
        <v>476</v>
      </c>
      <c r="D73" s="132">
        <v>68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S73" s="151" t="s">
        <v>575</v>
      </c>
      <c r="T73" s="152" t="s">
        <v>576</v>
      </c>
      <c r="W73" s="118"/>
    </row>
    <row r="74" spans="1:23" s="42" customFormat="1" ht="12.75">
      <c r="A74" s="116"/>
      <c r="B74" s="117"/>
      <c r="C74" s="131" t="s">
        <v>112</v>
      </c>
      <c r="D74" s="132">
        <v>69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S74" s="151" t="s">
        <v>207</v>
      </c>
      <c r="T74" s="152" t="s">
        <v>38</v>
      </c>
      <c r="W74" s="118"/>
    </row>
    <row r="75" spans="1:23" s="42" customFormat="1" ht="12.75">
      <c r="A75" s="116"/>
      <c r="B75" s="117"/>
      <c r="C75" s="131" t="s">
        <v>40</v>
      </c>
      <c r="D75" s="132">
        <v>70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S75" s="151" t="s">
        <v>269</v>
      </c>
      <c r="T75" s="152" t="s">
        <v>39</v>
      </c>
      <c r="W75" s="118"/>
    </row>
    <row r="76" spans="1:23" s="42" customFormat="1" ht="12.75">
      <c r="A76" s="116"/>
      <c r="B76" s="117"/>
      <c r="C76" s="131" t="s">
        <v>113</v>
      </c>
      <c r="D76" s="132">
        <v>71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S76" s="151" t="s">
        <v>208</v>
      </c>
      <c r="T76" s="152" t="s">
        <v>41</v>
      </c>
      <c r="W76" s="118"/>
    </row>
    <row r="77" spans="1:23" s="42" customFormat="1" ht="12.75">
      <c r="A77" s="116"/>
      <c r="B77" s="117"/>
      <c r="C77" s="131" t="s">
        <v>477</v>
      </c>
      <c r="D77" s="132">
        <v>72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S77" s="151" t="s">
        <v>577</v>
      </c>
      <c r="T77" s="152" t="s">
        <v>578</v>
      </c>
      <c r="W77" s="118"/>
    </row>
    <row r="78" spans="1:23" s="42" customFormat="1" ht="12.75">
      <c r="A78" s="116"/>
      <c r="B78" s="116"/>
      <c r="C78" s="131" t="s">
        <v>114</v>
      </c>
      <c r="D78" s="132">
        <v>73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S78" s="151" t="s">
        <v>209</v>
      </c>
      <c r="T78" s="152" t="s">
        <v>42</v>
      </c>
      <c r="W78" s="118"/>
    </row>
    <row r="79" spans="3:23" s="116" customFormat="1" ht="12.75">
      <c r="C79" s="131" t="s">
        <v>400</v>
      </c>
      <c r="D79" s="132">
        <v>74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S79" s="151" t="s">
        <v>421</v>
      </c>
      <c r="T79" s="152" t="s">
        <v>420</v>
      </c>
      <c r="W79" s="154"/>
    </row>
    <row r="80" spans="2:20" s="155" customFormat="1" ht="12.75">
      <c r="B80" s="155" t="s">
        <v>183</v>
      </c>
      <c r="C80" s="131" t="s">
        <v>168</v>
      </c>
      <c r="D80" s="132">
        <v>75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S80" s="151" t="s">
        <v>273</v>
      </c>
      <c r="T80" s="152" t="s">
        <v>70</v>
      </c>
    </row>
    <row r="81" spans="3:23" s="42" customFormat="1" ht="12.75">
      <c r="C81" s="131" t="s">
        <v>401</v>
      </c>
      <c r="D81" s="132">
        <v>76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S81" s="151" t="s">
        <v>423</v>
      </c>
      <c r="T81" s="152" t="s">
        <v>422</v>
      </c>
      <c r="W81" s="118"/>
    </row>
    <row r="82" spans="1:23" s="42" customFormat="1" ht="12.75">
      <c r="A82" s="116"/>
      <c r="B82" s="117"/>
      <c r="C82" s="131" t="s">
        <v>116</v>
      </c>
      <c r="D82" s="132">
        <v>77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S82" s="151" t="s">
        <v>210</v>
      </c>
      <c r="T82" s="152" t="s">
        <v>115</v>
      </c>
      <c r="W82" s="118"/>
    </row>
    <row r="83" spans="3:23" s="42" customFormat="1" ht="12.75">
      <c r="C83" s="131" t="s">
        <v>478</v>
      </c>
      <c r="D83" s="132">
        <v>78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S83" s="151" t="s">
        <v>579</v>
      </c>
      <c r="T83" s="152" t="s">
        <v>580</v>
      </c>
      <c r="W83" s="118"/>
    </row>
    <row r="84" spans="3:23" s="42" customFormat="1" ht="12.75">
      <c r="C84" s="131" t="s">
        <v>479</v>
      </c>
      <c r="D84" s="132">
        <v>79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S84" s="151" t="s">
        <v>581</v>
      </c>
      <c r="T84" s="152" t="s">
        <v>582</v>
      </c>
      <c r="W84" s="118"/>
    </row>
    <row r="85" spans="3:23" s="42" customFormat="1" ht="12.75">
      <c r="C85" s="131" t="s">
        <v>169</v>
      </c>
      <c r="D85" s="132">
        <v>80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S85" s="151" t="s">
        <v>271</v>
      </c>
      <c r="T85" s="152" t="s">
        <v>71</v>
      </c>
      <c r="W85" s="118"/>
    </row>
    <row r="86" spans="3:23" s="42" customFormat="1" ht="12.75">
      <c r="C86" s="131" t="s">
        <v>480</v>
      </c>
      <c r="D86" s="132">
        <v>81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S86" s="151" t="s">
        <v>440</v>
      </c>
      <c r="T86" s="152" t="s">
        <v>648</v>
      </c>
      <c r="W86" s="118"/>
    </row>
    <row r="87" spans="3:23" s="42" customFormat="1" ht="12.75">
      <c r="C87" s="131" t="s">
        <v>170</v>
      </c>
      <c r="D87" s="132">
        <v>82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S87" s="151" t="s">
        <v>275</v>
      </c>
      <c r="T87" s="152" t="s">
        <v>72</v>
      </c>
      <c r="W87" s="118"/>
    </row>
    <row r="88" spans="3:23" s="42" customFormat="1" ht="12.75">
      <c r="C88" s="131" t="s">
        <v>481</v>
      </c>
      <c r="D88" s="132">
        <v>83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S88" s="151" t="s">
        <v>583</v>
      </c>
      <c r="T88" s="152" t="s">
        <v>584</v>
      </c>
      <c r="W88" s="118"/>
    </row>
    <row r="89" spans="3:23" s="42" customFormat="1" ht="12.75">
      <c r="C89" s="131" t="s">
        <v>482</v>
      </c>
      <c r="D89" s="132">
        <v>84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S89" s="151" t="s">
        <v>585</v>
      </c>
      <c r="T89" s="152" t="s">
        <v>586</v>
      </c>
      <c r="W89" s="118"/>
    </row>
    <row r="90" spans="3:23" s="42" customFormat="1" ht="12.75">
      <c r="C90" s="131" t="s">
        <v>483</v>
      </c>
      <c r="D90" s="132">
        <v>85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S90" s="151" t="s">
        <v>587</v>
      </c>
      <c r="T90" s="152" t="s">
        <v>588</v>
      </c>
      <c r="W90" s="118"/>
    </row>
    <row r="91" spans="3:23" s="42" customFormat="1" ht="12.75">
      <c r="C91" s="131" t="s">
        <v>484</v>
      </c>
      <c r="D91" s="132">
        <v>86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S91" s="151" t="s">
        <v>589</v>
      </c>
      <c r="T91" s="152" t="s">
        <v>590</v>
      </c>
      <c r="W91" s="118"/>
    </row>
    <row r="92" spans="3:23" s="42" customFormat="1" ht="12.75">
      <c r="C92" s="131" t="s">
        <v>171</v>
      </c>
      <c r="D92" s="132">
        <v>87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S92" s="151" t="s">
        <v>274</v>
      </c>
      <c r="T92" s="152" t="s">
        <v>73</v>
      </c>
      <c r="W92" s="118"/>
    </row>
    <row r="93" spans="3:23" s="42" customFormat="1" ht="12.75">
      <c r="C93" s="131" t="s">
        <v>44</v>
      </c>
      <c r="D93" s="132">
        <v>88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S93" s="151" t="s">
        <v>211</v>
      </c>
      <c r="T93" s="152" t="s">
        <v>43</v>
      </c>
      <c r="W93" s="118"/>
    </row>
    <row r="94" spans="3:23" s="42" customFormat="1" ht="12.75">
      <c r="C94" s="131" t="s">
        <v>485</v>
      </c>
      <c r="D94" s="132">
        <v>89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S94" s="151" t="s">
        <v>591</v>
      </c>
      <c r="T94" s="152" t="s">
        <v>592</v>
      </c>
      <c r="W94" s="118"/>
    </row>
    <row r="95" spans="3:23" s="42" customFormat="1" ht="12.75">
      <c r="C95" s="131" t="s">
        <v>118</v>
      </c>
      <c r="D95" s="132">
        <v>90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S95" s="151" t="s">
        <v>281</v>
      </c>
      <c r="T95" s="152" t="s">
        <v>117</v>
      </c>
      <c r="W95" s="118"/>
    </row>
    <row r="96" spans="3:23" s="42" customFormat="1" ht="12.75">
      <c r="C96" s="131" t="s">
        <v>120</v>
      </c>
      <c r="D96" s="132">
        <v>91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S96" s="151" t="s">
        <v>280</v>
      </c>
      <c r="T96" s="152" t="s">
        <v>119</v>
      </c>
      <c r="W96" s="118"/>
    </row>
    <row r="97" spans="3:23" s="42" customFormat="1" ht="12.75">
      <c r="C97" s="131" t="s">
        <v>486</v>
      </c>
      <c r="D97" s="132">
        <v>92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S97" s="151" t="s">
        <v>593</v>
      </c>
      <c r="T97" s="152" t="s">
        <v>594</v>
      </c>
      <c r="W97" s="118"/>
    </row>
    <row r="98" spans="3:23" s="42" customFormat="1" ht="12.75">
      <c r="C98" s="131" t="s">
        <v>487</v>
      </c>
      <c r="D98" s="132">
        <v>93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S98" s="151" t="s">
        <v>595</v>
      </c>
      <c r="T98" s="152" t="s">
        <v>596</v>
      </c>
      <c r="W98" s="118"/>
    </row>
    <row r="99" spans="3:23" s="42" customFormat="1" ht="12.75">
      <c r="C99" s="131" t="s">
        <v>402</v>
      </c>
      <c r="D99" s="132">
        <v>94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S99" s="151" t="s">
        <v>425</v>
      </c>
      <c r="T99" s="152" t="s">
        <v>424</v>
      </c>
      <c r="W99" s="118"/>
    </row>
    <row r="100" spans="3:23" s="42" customFormat="1" ht="12.75">
      <c r="C100" s="131" t="s">
        <v>46</v>
      </c>
      <c r="D100" s="132">
        <v>95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S100" s="151" t="s">
        <v>212</v>
      </c>
      <c r="T100" s="152" t="s">
        <v>45</v>
      </c>
      <c r="W100" s="118"/>
    </row>
    <row r="101" spans="3:23" s="42" customFormat="1" ht="12.75">
      <c r="C101" s="131" t="s">
        <v>488</v>
      </c>
      <c r="D101" s="132">
        <v>96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S101" s="151" t="s">
        <v>277</v>
      </c>
      <c r="T101" s="152" t="s">
        <v>74</v>
      </c>
      <c r="W101" s="118"/>
    </row>
    <row r="102" spans="3:23" s="42" customFormat="1" ht="12.75">
      <c r="C102" s="131" t="s">
        <v>375</v>
      </c>
      <c r="D102" s="132">
        <v>97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S102" s="151" t="s">
        <v>376</v>
      </c>
      <c r="T102" s="152" t="s">
        <v>377</v>
      </c>
      <c r="W102" s="118"/>
    </row>
    <row r="103" spans="3:23" s="42" customFormat="1" ht="12.75">
      <c r="C103" s="131" t="s">
        <v>172</v>
      </c>
      <c r="D103" s="132">
        <v>98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S103" s="151" t="s">
        <v>278</v>
      </c>
      <c r="T103" s="152" t="s">
        <v>182</v>
      </c>
      <c r="W103" s="118"/>
    </row>
    <row r="104" spans="3:23" s="42" customFormat="1" ht="12.75">
      <c r="C104" s="131" t="s">
        <v>122</v>
      </c>
      <c r="D104" s="132">
        <v>99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S104" s="151" t="s">
        <v>276</v>
      </c>
      <c r="T104" s="152" t="s">
        <v>121</v>
      </c>
      <c r="W104" s="118"/>
    </row>
    <row r="105" spans="3:23" s="42" customFormat="1" ht="12.75">
      <c r="C105" s="131" t="s">
        <v>48</v>
      </c>
      <c r="D105" s="132">
        <v>100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S105" s="151" t="s">
        <v>282</v>
      </c>
      <c r="T105" s="152" t="s">
        <v>47</v>
      </c>
      <c r="W105" s="118"/>
    </row>
    <row r="106" spans="3:23" s="42" customFormat="1" ht="12.75">
      <c r="C106" s="131" t="s">
        <v>374</v>
      </c>
      <c r="D106" s="132">
        <v>101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S106" s="151" t="s">
        <v>378</v>
      </c>
      <c r="T106" s="152" t="s">
        <v>379</v>
      </c>
      <c r="W106" s="118"/>
    </row>
    <row r="107" spans="3:23" s="42" customFormat="1" ht="12.75">
      <c r="C107" s="131" t="s">
        <v>489</v>
      </c>
      <c r="D107" s="132">
        <v>102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S107" s="151" t="s">
        <v>597</v>
      </c>
      <c r="T107" s="152" t="s">
        <v>598</v>
      </c>
      <c r="W107" s="118"/>
    </row>
    <row r="108" spans="3:23" s="42" customFormat="1" ht="12.75">
      <c r="C108" s="131" t="s">
        <v>490</v>
      </c>
      <c r="D108" s="132">
        <v>103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S108" s="151" t="s">
        <v>599</v>
      </c>
      <c r="T108" s="152" t="s">
        <v>600</v>
      </c>
      <c r="W108" s="118"/>
    </row>
    <row r="109" spans="3:23" s="42" customFormat="1" ht="12.75">
      <c r="C109" s="131" t="s">
        <v>123</v>
      </c>
      <c r="D109" s="132">
        <v>104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S109" s="151" t="s">
        <v>213</v>
      </c>
      <c r="T109" s="152" t="s">
        <v>49</v>
      </c>
      <c r="W109" s="118"/>
    </row>
    <row r="110" spans="3:23" s="42" customFormat="1" ht="12.75">
      <c r="C110" s="131" t="s">
        <v>491</v>
      </c>
      <c r="D110" s="132">
        <v>105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S110" s="151" t="s">
        <v>601</v>
      </c>
      <c r="T110" s="152" t="s">
        <v>602</v>
      </c>
      <c r="W110" s="118"/>
    </row>
    <row r="111" spans="3:23" s="42" customFormat="1" ht="12.75">
      <c r="C111" s="131" t="s">
        <v>124</v>
      </c>
      <c r="D111" s="132">
        <v>106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S111" s="151" t="s">
        <v>50</v>
      </c>
      <c r="T111" s="152" t="s">
        <v>50</v>
      </c>
      <c r="W111" s="118"/>
    </row>
    <row r="112" spans="3:23" s="42" customFormat="1" ht="12.75">
      <c r="C112" s="131" t="s">
        <v>643</v>
      </c>
      <c r="D112" s="132">
        <v>107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S112" s="151" t="s">
        <v>645</v>
      </c>
      <c r="T112" s="152" t="s">
        <v>644</v>
      </c>
      <c r="W112" s="118"/>
    </row>
    <row r="113" spans="3:23" s="42" customFormat="1" ht="12.75">
      <c r="C113" s="131" t="s">
        <v>492</v>
      </c>
      <c r="D113" s="132">
        <v>108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S113" s="151" t="s">
        <v>603</v>
      </c>
      <c r="T113" s="152" t="s">
        <v>604</v>
      </c>
      <c r="W113" s="118"/>
    </row>
    <row r="114" spans="1:23" s="42" customFormat="1" ht="12.75">
      <c r="A114" s="116"/>
      <c r="B114" s="117"/>
      <c r="C114" s="131" t="s">
        <v>646</v>
      </c>
      <c r="D114" s="132">
        <v>109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S114" s="151" t="s">
        <v>279</v>
      </c>
      <c r="T114" s="152" t="s">
        <v>647</v>
      </c>
      <c r="W114" s="118"/>
    </row>
    <row r="115" spans="3:23" s="42" customFormat="1" ht="12.75">
      <c r="C115" s="131" t="s">
        <v>125</v>
      </c>
      <c r="D115" s="132">
        <v>110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S115" s="151" t="s">
        <v>214</v>
      </c>
      <c r="T115" s="152" t="s">
        <v>51</v>
      </c>
      <c r="W115" s="118"/>
    </row>
    <row r="116" spans="3:23" s="42" customFormat="1" ht="12.75">
      <c r="C116" s="131" t="s">
        <v>493</v>
      </c>
      <c r="D116" s="132">
        <v>111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S116" s="151" t="s">
        <v>605</v>
      </c>
      <c r="T116" s="152" t="s">
        <v>606</v>
      </c>
      <c r="W116" s="118"/>
    </row>
    <row r="117" spans="3:23" s="42" customFormat="1" ht="12.75">
      <c r="C117" s="131" t="s">
        <v>127</v>
      </c>
      <c r="D117" s="132">
        <v>112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S117" s="151" t="s">
        <v>297</v>
      </c>
      <c r="T117" s="152" t="s">
        <v>126</v>
      </c>
      <c r="W117" s="118"/>
    </row>
    <row r="118" spans="3:23" s="42" customFormat="1" ht="12.75">
      <c r="C118" s="131" t="s">
        <v>494</v>
      </c>
      <c r="D118" s="132">
        <v>113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S118" s="151" t="s">
        <v>298</v>
      </c>
      <c r="T118" s="152" t="s">
        <v>129</v>
      </c>
      <c r="W118" s="118"/>
    </row>
    <row r="119" spans="3:23" s="42" customFormat="1" ht="12.75">
      <c r="C119" s="131" t="s">
        <v>495</v>
      </c>
      <c r="D119" s="132">
        <v>114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S119" s="151" t="s">
        <v>607</v>
      </c>
      <c r="T119" s="152" t="s">
        <v>608</v>
      </c>
      <c r="W119" s="118"/>
    </row>
    <row r="120" spans="3:23" s="42" customFormat="1" ht="12.75">
      <c r="C120" s="131" t="s">
        <v>496</v>
      </c>
      <c r="D120" s="132">
        <v>115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S120" s="151" t="s">
        <v>609</v>
      </c>
      <c r="T120" s="152" t="s">
        <v>610</v>
      </c>
      <c r="W120" s="118"/>
    </row>
    <row r="121" spans="3:23" s="42" customFormat="1" ht="12.75">
      <c r="C121" s="131" t="s">
        <v>185</v>
      </c>
      <c r="D121" s="132">
        <v>116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S121" s="151" t="s">
        <v>347</v>
      </c>
      <c r="T121" s="152" t="s">
        <v>189</v>
      </c>
      <c r="W121" s="118"/>
    </row>
    <row r="122" spans="3:23" s="42" customFormat="1" ht="12.75">
      <c r="C122" s="131" t="s">
        <v>497</v>
      </c>
      <c r="D122" s="132">
        <v>117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S122" s="151" t="s">
        <v>346</v>
      </c>
      <c r="T122" s="152" t="s">
        <v>128</v>
      </c>
      <c r="W122" s="118"/>
    </row>
    <row r="123" spans="3:23" s="42" customFormat="1" ht="12.75">
      <c r="C123" s="131" t="s">
        <v>131</v>
      </c>
      <c r="D123" s="132">
        <v>118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S123" s="151" t="s">
        <v>284</v>
      </c>
      <c r="T123" s="152" t="s">
        <v>130</v>
      </c>
      <c r="W123" s="118"/>
    </row>
    <row r="124" spans="3:23" s="42" customFormat="1" ht="12.75">
      <c r="C124" s="131" t="s">
        <v>403</v>
      </c>
      <c r="D124" s="132">
        <v>119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S124" s="151" t="s">
        <v>427</v>
      </c>
      <c r="T124" s="152" t="s">
        <v>426</v>
      </c>
      <c r="W124" s="118"/>
    </row>
    <row r="125" spans="3:23" s="42" customFormat="1" ht="12.75">
      <c r="C125" s="131" t="s">
        <v>498</v>
      </c>
      <c r="D125" s="132">
        <v>120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S125" s="151" t="s">
        <v>611</v>
      </c>
      <c r="T125" s="152" t="s">
        <v>612</v>
      </c>
      <c r="W125" s="118"/>
    </row>
    <row r="126" spans="3:23" s="42" customFormat="1" ht="12.75">
      <c r="C126" s="131" t="s">
        <v>404</v>
      </c>
      <c r="D126" s="132">
        <v>121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S126" s="151" t="s">
        <v>429</v>
      </c>
      <c r="T126" s="152" t="s">
        <v>428</v>
      </c>
      <c r="W126" s="118"/>
    </row>
    <row r="127" spans="3:23" s="42" customFormat="1" ht="12.75">
      <c r="C127" s="131" t="s">
        <v>133</v>
      </c>
      <c r="D127" s="132">
        <v>122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S127" s="151" t="s">
        <v>283</v>
      </c>
      <c r="T127" s="152" t="s">
        <v>132</v>
      </c>
      <c r="W127" s="118"/>
    </row>
    <row r="128" spans="3:23" s="42" customFormat="1" ht="12.75">
      <c r="C128" s="131" t="s">
        <v>53</v>
      </c>
      <c r="D128" s="132">
        <v>123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S128" s="151" t="s">
        <v>215</v>
      </c>
      <c r="T128" s="152" t="s">
        <v>52</v>
      </c>
      <c r="W128" s="118"/>
    </row>
    <row r="129" spans="3:23" s="42" customFormat="1" ht="12.75">
      <c r="C129" s="131" t="s">
        <v>134</v>
      </c>
      <c r="D129" s="132">
        <v>124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S129" s="151" t="s">
        <v>216</v>
      </c>
      <c r="T129" s="152" t="s">
        <v>54</v>
      </c>
      <c r="W129" s="118"/>
    </row>
    <row r="130" spans="3:23" s="42" customFormat="1" ht="12.75">
      <c r="C130" s="131" t="s">
        <v>499</v>
      </c>
      <c r="D130" s="132">
        <v>125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S130" s="151" t="s">
        <v>613</v>
      </c>
      <c r="T130" s="152" t="s">
        <v>614</v>
      </c>
      <c r="W130" s="118"/>
    </row>
    <row r="131" spans="3:23" s="42" customFormat="1" ht="12.75">
      <c r="C131" s="131" t="s">
        <v>56</v>
      </c>
      <c r="D131" s="132">
        <v>126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S131" s="151" t="s">
        <v>285</v>
      </c>
      <c r="T131" s="152" t="s">
        <v>55</v>
      </c>
      <c r="W131" s="118"/>
    </row>
    <row r="132" spans="3:23" s="42" customFormat="1" ht="12.75">
      <c r="C132" s="131" t="s">
        <v>345</v>
      </c>
      <c r="D132" s="132">
        <v>127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S132" s="151" t="s">
        <v>287</v>
      </c>
      <c r="T132" s="152" t="s">
        <v>75</v>
      </c>
      <c r="W132" s="118"/>
    </row>
    <row r="133" spans="3:23" s="42" customFormat="1" ht="12.75">
      <c r="C133" s="131" t="s">
        <v>500</v>
      </c>
      <c r="D133" s="132">
        <v>128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S133" s="151" t="s">
        <v>615</v>
      </c>
      <c r="T133" s="152" t="s">
        <v>616</v>
      </c>
      <c r="W133" s="118"/>
    </row>
    <row r="134" spans="3:23" s="42" customFormat="1" ht="12.75">
      <c r="C134" s="131" t="s">
        <v>501</v>
      </c>
      <c r="D134" s="132">
        <v>129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S134" s="151" t="s">
        <v>617</v>
      </c>
      <c r="T134" s="152" t="s">
        <v>618</v>
      </c>
      <c r="W134" s="118"/>
    </row>
    <row r="135" spans="3:23" s="42" customFormat="1" ht="12.75">
      <c r="C135" s="131" t="s">
        <v>405</v>
      </c>
      <c r="D135" s="132">
        <v>130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S135" s="151" t="s">
        <v>431</v>
      </c>
      <c r="T135" s="152" t="s">
        <v>430</v>
      </c>
      <c r="W135" s="118"/>
    </row>
    <row r="136" spans="3:23" s="42" customFormat="1" ht="12.75">
      <c r="C136" s="131" t="s">
        <v>173</v>
      </c>
      <c r="D136" s="132">
        <v>131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S136" s="151" t="s">
        <v>286</v>
      </c>
      <c r="T136" s="152" t="s">
        <v>87</v>
      </c>
      <c r="W136" s="118"/>
    </row>
    <row r="137" spans="3:23" s="42" customFormat="1" ht="12.75">
      <c r="C137" s="131" t="s">
        <v>502</v>
      </c>
      <c r="D137" s="132">
        <v>132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S137" s="151" t="s">
        <v>619</v>
      </c>
      <c r="T137" s="152" t="s">
        <v>620</v>
      </c>
      <c r="W137" s="118"/>
    </row>
    <row r="138" spans="3:23" s="42" customFormat="1" ht="12.75">
      <c r="C138" s="131" t="s">
        <v>406</v>
      </c>
      <c r="D138" s="132">
        <v>133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S138" s="151" t="s">
        <v>433</v>
      </c>
      <c r="T138" s="152" t="s">
        <v>432</v>
      </c>
      <c r="W138" s="118"/>
    </row>
    <row r="139" spans="3:23" s="42" customFormat="1" ht="12.75">
      <c r="C139" s="131" t="s">
        <v>58</v>
      </c>
      <c r="D139" s="132">
        <v>134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S139" s="151" t="s">
        <v>217</v>
      </c>
      <c r="T139" s="152" t="s">
        <v>57</v>
      </c>
      <c r="W139" s="118"/>
    </row>
    <row r="140" spans="3:23" s="42" customFormat="1" ht="12.75">
      <c r="C140" s="131" t="s">
        <v>174</v>
      </c>
      <c r="D140" s="132">
        <v>135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S140" s="151" t="s">
        <v>288</v>
      </c>
      <c r="T140" s="152" t="s">
        <v>86</v>
      </c>
      <c r="W140" s="118"/>
    </row>
    <row r="141" spans="3:23" s="42" customFormat="1" ht="12.75">
      <c r="C141" s="131" t="s">
        <v>60</v>
      </c>
      <c r="D141" s="132">
        <v>136</v>
      </c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S141" s="151" t="s">
        <v>296</v>
      </c>
      <c r="T141" s="152" t="s">
        <v>59</v>
      </c>
      <c r="W141" s="118"/>
    </row>
    <row r="142" spans="3:23" s="42" customFormat="1" ht="12.75">
      <c r="C142" s="131" t="s">
        <v>503</v>
      </c>
      <c r="D142" s="132">
        <v>137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S142" s="151" t="s">
        <v>621</v>
      </c>
      <c r="T142" s="152" t="s">
        <v>622</v>
      </c>
      <c r="W142" s="118"/>
    </row>
    <row r="143" spans="3:23" s="42" customFormat="1" ht="12.75">
      <c r="C143" s="131" t="s">
        <v>135</v>
      </c>
      <c r="D143" s="132">
        <v>138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S143" s="151" t="s">
        <v>218</v>
      </c>
      <c r="T143" s="152" t="s">
        <v>61</v>
      </c>
      <c r="W143" s="118"/>
    </row>
    <row r="144" spans="3:23" s="42" customFormat="1" ht="12.75">
      <c r="C144" s="131" t="s">
        <v>407</v>
      </c>
      <c r="D144" s="132">
        <v>139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S144" s="151" t="s">
        <v>435</v>
      </c>
      <c r="T144" s="152" t="s">
        <v>434</v>
      </c>
      <c r="W144" s="118"/>
    </row>
    <row r="145" spans="3:23" s="42" customFormat="1" ht="12.75">
      <c r="C145" s="131" t="s">
        <v>504</v>
      </c>
      <c r="D145" s="132">
        <v>140</v>
      </c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S145" s="151" t="s">
        <v>623</v>
      </c>
      <c r="T145" s="152" t="s">
        <v>624</v>
      </c>
      <c r="W145" s="118"/>
    </row>
    <row r="146" spans="3:23" s="42" customFormat="1" ht="12.75">
      <c r="C146" s="131" t="s">
        <v>136</v>
      </c>
      <c r="D146" s="132">
        <v>141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S146" s="151" t="s">
        <v>219</v>
      </c>
      <c r="T146" s="152" t="s">
        <v>62</v>
      </c>
      <c r="W146" s="118"/>
    </row>
    <row r="147" spans="3:23" s="42" customFormat="1" ht="12.75">
      <c r="C147" s="131" t="s">
        <v>137</v>
      </c>
      <c r="D147" s="132">
        <v>142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S147" s="151" t="s">
        <v>220</v>
      </c>
      <c r="T147" s="152" t="s">
        <v>63</v>
      </c>
      <c r="W147" s="118"/>
    </row>
    <row r="148" spans="3:23" s="42" customFormat="1" ht="12.75">
      <c r="C148" s="131" t="s">
        <v>505</v>
      </c>
      <c r="D148" s="132">
        <v>143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S148" s="151" t="s">
        <v>625</v>
      </c>
      <c r="T148" s="152" t="s">
        <v>626</v>
      </c>
      <c r="W148" s="118"/>
    </row>
    <row r="149" spans="3:23" s="42" customFormat="1" ht="12.75">
      <c r="C149" s="131" t="s">
        <v>506</v>
      </c>
      <c r="D149" s="132">
        <v>144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S149" s="151" t="s">
        <v>299</v>
      </c>
      <c r="T149" s="152" t="s">
        <v>188</v>
      </c>
      <c r="W149" s="118"/>
    </row>
    <row r="150" spans="3:23" s="42" customFormat="1" ht="12.75">
      <c r="C150" s="131" t="s">
        <v>175</v>
      </c>
      <c r="D150" s="132">
        <v>145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S150" s="151" t="s">
        <v>290</v>
      </c>
      <c r="T150" s="152" t="s">
        <v>76</v>
      </c>
      <c r="W150" s="118"/>
    </row>
    <row r="151" spans="3:23" s="42" customFormat="1" ht="12.75">
      <c r="C151" s="131" t="s">
        <v>507</v>
      </c>
      <c r="D151" s="132">
        <v>146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S151" s="151" t="s">
        <v>627</v>
      </c>
      <c r="T151" s="152" t="s">
        <v>628</v>
      </c>
      <c r="W151" s="118"/>
    </row>
    <row r="152" spans="3:23" s="42" customFormat="1" ht="12.75">
      <c r="C152" s="131" t="s">
        <v>139</v>
      </c>
      <c r="D152" s="132">
        <v>147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S152" s="151" t="s">
        <v>289</v>
      </c>
      <c r="T152" s="152" t="s">
        <v>138</v>
      </c>
      <c r="W152" s="118"/>
    </row>
    <row r="153" spans="3:23" s="42" customFormat="1" ht="12.75">
      <c r="C153" s="131" t="s">
        <v>508</v>
      </c>
      <c r="D153" s="132">
        <v>148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S153" s="151" t="s">
        <v>629</v>
      </c>
      <c r="T153" s="152" t="s">
        <v>630</v>
      </c>
      <c r="W153" s="118"/>
    </row>
    <row r="154" spans="3:23" s="42" customFormat="1" ht="12.75">
      <c r="C154" s="131" t="s">
        <v>509</v>
      </c>
      <c r="D154" s="132">
        <v>149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S154" s="151" t="s">
        <v>631</v>
      </c>
      <c r="T154" s="152" t="s">
        <v>632</v>
      </c>
      <c r="W154" s="118"/>
    </row>
    <row r="155" spans="3:23" s="42" customFormat="1" ht="12.75">
      <c r="C155" s="131" t="s">
        <v>510</v>
      </c>
      <c r="D155" s="132">
        <v>150</v>
      </c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S155" s="151" t="s">
        <v>633</v>
      </c>
      <c r="T155" s="152" t="s">
        <v>634</v>
      </c>
      <c r="W155" s="118"/>
    </row>
    <row r="156" spans="3:23" s="42" customFormat="1" ht="12.75">
      <c r="C156" s="131" t="s">
        <v>511</v>
      </c>
      <c r="D156" s="132">
        <v>151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S156" s="151" t="s">
        <v>635</v>
      </c>
      <c r="T156" s="152" t="s">
        <v>636</v>
      </c>
      <c r="W156" s="118"/>
    </row>
    <row r="157" spans="3:23" s="42" customFormat="1" ht="12.75">
      <c r="C157" s="131" t="s">
        <v>140</v>
      </c>
      <c r="D157" s="132">
        <v>152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S157" s="151" t="s">
        <v>221</v>
      </c>
      <c r="T157" s="152" t="s">
        <v>64</v>
      </c>
      <c r="W157" s="118"/>
    </row>
    <row r="158" spans="3:23" s="42" customFormat="1" ht="12.75">
      <c r="C158" s="131" t="s">
        <v>176</v>
      </c>
      <c r="D158" s="132">
        <v>153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S158" s="151" t="s">
        <v>291</v>
      </c>
      <c r="T158" s="152" t="s">
        <v>77</v>
      </c>
      <c r="W158" s="118"/>
    </row>
    <row r="159" spans="3:23" s="42" customFormat="1" ht="12.75">
      <c r="C159" s="131" t="s">
        <v>512</v>
      </c>
      <c r="D159" s="132">
        <v>154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S159" s="151" t="s">
        <v>637</v>
      </c>
      <c r="T159" s="152" t="s">
        <v>638</v>
      </c>
      <c r="W159" s="118"/>
    </row>
    <row r="160" spans="3:23" s="42" customFormat="1" ht="12.75">
      <c r="C160" s="131" t="s">
        <v>177</v>
      </c>
      <c r="D160" s="132">
        <v>155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S160" s="151" t="s">
        <v>292</v>
      </c>
      <c r="T160" s="152" t="s">
        <v>78</v>
      </c>
      <c r="W160" s="118"/>
    </row>
    <row r="161" spans="3:23" s="42" customFormat="1" ht="12.75">
      <c r="C161" s="131" t="s">
        <v>408</v>
      </c>
      <c r="D161" s="132">
        <v>156</v>
      </c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S161" s="151" t="s">
        <v>437</v>
      </c>
      <c r="T161" s="152" t="s">
        <v>436</v>
      </c>
      <c r="W161" s="118"/>
    </row>
    <row r="162" spans="3:23" s="42" customFormat="1" ht="12.75">
      <c r="C162" s="131" t="s">
        <v>90</v>
      </c>
      <c r="D162" s="132">
        <v>157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S162" s="151" t="s">
        <v>222</v>
      </c>
      <c r="T162" s="152" t="s">
        <v>80</v>
      </c>
      <c r="W162" s="118"/>
    </row>
    <row r="163" spans="3:23" s="42" customFormat="1" ht="12.75">
      <c r="C163" s="131" t="s">
        <v>141</v>
      </c>
      <c r="D163" s="132">
        <v>158</v>
      </c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S163" s="151" t="s">
        <v>223</v>
      </c>
      <c r="T163" s="152" t="s">
        <v>81</v>
      </c>
      <c r="W163" s="118"/>
    </row>
    <row r="164" spans="3:23" s="42" customFormat="1" ht="12.75">
      <c r="C164" s="131" t="s">
        <v>513</v>
      </c>
      <c r="D164" s="132">
        <v>159</v>
      </c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S164" s="151" t="s">
        <v>639</v>
      </c>
      <c r="T164" s="152" t="s">
        <v>640</v>
      </c>
      <c r="W164" s="118"/>
    </row>
    <row r="165" spans="3:23" s="42" customFormat="1" ht="12.75">
      <c r="C165" s="131" t="s">
        <v>178</v>
      </c>
      <c r="D165" s="132">
        <v>160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S165" s="151" t="s">
        <v>293</v>
      </c>
      <c r="T165" s="152" t="s">
        <v>79</v>
      </c>
      <c r="W165" s="118"/>
    </row>
    <row r="166" spans="3:23" s="42" customFormat="1" ht="12.75">
      <c r="C166" s="131" t="s">
        <v>514</v>
      </c>
      <c r="D166" s="132">
        <v>161</v>
      </c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S166" s="151" t="s">
        <v>294</v>
      </c>
      <c r="T166" s="152" t="s">
        <v>82</v>
      </c>
      <c r="W166" s="118"/>
    </row>
    <row r="167" spans="3:23" s="42" customFormat="1" ht="12.75">
      <c r="C167" s="131" t="s">
        <v>409</v>
      </c>
      <c r="D167" s="132">
        <v>162</v>
      </c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S167" s="151" t="s">
        <v>295</v>
      </c>
      <c r="T167" s="152" t="s">
        <v>83</v>
      </c>
      <c r="W167" s="118"/>
    </row>
    <row r="168" spans="3:23" s="42" customFormat="1" ht="12.75">
      <c r="C168" s="131" t="s">
        <v>410</v>
      </c>
      <c r="D168" s="132">
        <v>163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S168" s="151" t="s">
        <v>439</v>
      </c>
      <c r="T168" s="152" t="s">
        <v>438</v>
      </c>
      <c r="W168" s="118"/>
    </row>
    <row r="169" spans="3:23" s="42" customFormat="1" ht="12.75">
      <c r="C169" s="134" t="s">
        <v>411</v>
      </c>
      <c r="D169" s="132">
        <v>164</v>
      </c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S169" s="151" t="s">
        <v>301</v>
      </c>
      <c r="T169" s="152" t="s">
        <v>88</v>
      </c>
      <c r="W169" s="118"/>
    </row>
    <row r="170" spans="3:20" ht="12.75">
      <c r="C170" s="149" t="s">
        <v>186</v>
      </c>
      <c r="D170" s="156">
        <v>165</v>
      </c>
      <c r="E170" s="148">
        <f aca="true" t="shared" si="0" ref="E170:O170">ROUND(SUM(E6:E169),3)</f>
        <v>0</v>
      </c>
      <c r="F170" s="148">
        <f t="shared" si="0"/>
        <v>0</v>
      </c>
      <c r="G170" s="148">
        <f t="shared" si="0"/>
        <v>0</v>
      </c>
      <c r="H170" s="148">
        <f t="shared" si="0"/>
        <v>0</v>
      </c>
      <c r="I170" s="148">
        <f t="shared" si="0"/>
        <v>0</v>
      </c>
      <c r="J170" s="148">
        <f t="shared" si="0"/>
        <v>0</v>
      </c>
      <c r="K170" s="148">
        <f t="shared" si="0"/>
        <v>0</v>
      </c>
      <c r="L170" s="148">
        <f t="shared" si="0"/>
        <v>0</v>
      </c>
      <c r="M170" s="148">
        <f t="shared" si="0"/>
        <v>0</v>
      </c>
      <c r="N170" s="148">
        <f t="shared" si="0"/>
        <v>0</v>
      </c>
      <c r="O170" s="148">
        <f t="shared" si="0"/>
        <v>0</v>
      </c>
      <c r="S170" s="146" t="s">
        <v>300</v>
      </c>
      <c r="T170" s="147" t="s">
        <v>650</v>
      </c>
    </row>
    <row r="171" spans="3:20" ht="12.75">
      <c r="C171" s="136" t="s">
        <v>678</v>
      </c>
      <c r="D171" s="137"/>
      <c r="S171" s="146"/>
      <c r="T171" s="147"/>
    </row>
    <row r="172" spans="3:4" ht="12.75">
      <c r="C172" s="138" t="s">
        <v>680</v>
      </c>
      <c r="D172" s="137"/>
    </row>
    <row r="173" spans="3:4" ht="12.75">
      <c r="C173" s="138" t="s">
        <v>515</v>
      </c>
      <c r="D173" s="137"/>
    </row>
    <row r="174" spans="3:15" ht="12.75">
      <c r="C174" s="79" t="s">
        <v>343</v>
      </c>
      <c r="E174" s="76" t="s">
        <v>150</v>
      </c>
      <c r="F174" s="76" t="s">
        <v>5</v>
      </c>
      <c r="G174" s="76" t="s">
        <v>6</v>
      </c>
      <c r="H174" s="76" t="s">
        <v>7</v>
      </c>
      <c r="I174" s="76" t="s">
        <v>8</v>
      </c>
      <c r="J174" s="76" t="s">
        <v>151</v>
      </c>
      <c r="K174" s="76" t="s">
        <v>9</v>
      </c>
      <c r="L174" s="76" t="s">
        <v>152</v>
      </c>
      <c r="M174" s="126" t="s">
        <v>153</v>
      </c>
      <c r="N174" s="126" t="s">
        <v>245</v>
      </c>
      <c r="O174" s="126" t="s">
        <v>380</v>
      </c>
    </row>
  </sheetData>
  <sheetProtection/>
  <mergeCells count="1">
    <mergeCell ref="E1:O1"/>
  </mergeCells>
  <conditionalFormatting sqref="E170:O170">
    <cfRule type="cellIs" priority="2" dxfId="0" operator="notEqual" stopIfTrue="1">
      <formula>AD170</formula>
    </cfRule>
  </conditionalFormatting>
  <conditionalFormatting sqref="E6:O169">
    <cfRule type="cellIs" priority="1" dxfId="0" operator="notEqual" stopIfTrue="1">
      <formula>Z6</formula>
    </cfRule>
  </conditionalFormatting>
  <dataValidations count="1">
    <dataValidation type="decimal" operator="greaterThanOrEqual" allowBlank="1" showInputMessage="1" showErrorMessage="1" error="Numbers up to 3 decimal digits only/ Numéros jusqu'à 3 chiffres décimaux uniquement" sqref="E6:O16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32" r:id="rId1"/>
  <headerFooter alignWithMargins="0">
    <oddFooter>&amp;LInternational Energy Agency&amp;CEnergy Statistics Division&amp;RAnnual Coal Mini Questionnaire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05">
    <pageSetUpPr fitToPage="1"/>
  </sheetPr>
  <dimension ref="A1:I4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28125" style="90" customWidth="1"/>
    <col min="2" max="2" width="2.421875" style="89" customWidth="1"/>
    <col min="3" max="3" width="83.421875" style="89" customWidth="1"/>
    <col min="4" max="4" width="2.421875" style="89" customWidth="1"/>
    <col min="5" max="6" width="9.140625" style="89" customWidth="1"/>
    <col min="7" max="7" width="12.140625" style="89" customWidth="1"/>
    <col min="8" max="8" width="13.140625" style="89" customWidth="1"/>
    <col min="9" max="16384" width="9.140625" style="89" customWidth="1"/>
  </cols>
  <sheetData>
    <row r="1" spans="1:5" ht="6" customHeight="1">
      <c r="A1" s="92"/>
      <c r="B1" s="88"/>
      <c r="C1" s="88"/>
      <c r="D1" s="88"/>
      <c r="E1" s="83"/>
    </row>
    <row r="2" spans="2:7" ht="12.75">
      <c r="B2" s="81"/>
      <c r="C2" s="82"/>
      <c r="D2" s="81"/>
      <c r="E2" s="83"/>
      <c r="G2" s="93" t="s">
        <v>235</v>
      </c>
    </row>
    <row r="3" spans="2:8" ht="12.75">
      <c r="B3" s="84" t="s">
        <v>144</v>
      </c>
      <c r="C3" s="85"/>
      <c r="D3" s="85"/>
      <c r="E3" s="86"/>
      <c r="F3" s="94"/>
      <c r="G3" s="72" t="s">
        <v>342</v>
      </c>
      <c r="H3" s="95"/>
    </row>
    <row r="4" spans="2:8" ht="12.75">
      <c r="B4" s="87"/>
      <c r="C4" s="87"/>
      <c r="D4" s="87"/>
      <c r="E4" s="86"/>
      <c r="G4" s="80" t="s">
        <v>236</v>
      </c>
      <c r="H4" s="109" t="s">
        <v>344</v>
      </c>
    </row>
    <row r="5" spans="1:9" ht="12.75">
      <c r="A5" s="99"/>
      <c r="B5" s="100"/>
      <c r="C5" s="106"/>
      <c r="D5" s="101"/>
      <c r="E5" s="86"/>
      <c r="F5" s="94"/>
      <c r="G5" s="96" t="s">
        <v>302</v>
      </c>
      <c r="H5" s="96"/>
      <c r="I5" s="95"/>
    </row>
    <row r="6" spans="1:9" ht="12.75">
      <c r="A6" s="99"/>
      <c r="B6" s="102"/>
      <c r="C6" s="107"/>
      <c r="D6" s="103"/>
      <c r="E6" s="86"/>
      <c r="F6" s="94"/>
      <c r="G6" s="97" t="s">
        <v>303</v>
      </c>
      <c r="H6" s="97"/>
      <c r="I6" s="95"/>
    </row>
    <row r="7" spans="1:9" ht="12.75">
      <c r="A7" s="99"/>
      <c r="B7" s="102"/>
      <c r="C7" s="107"/>
      <c r="D7" s="103"/>
      <c r="E7" s="86"/>
      <c r="F7" s="94"/>
      <c r="G7" s="97" t="s">
        <v>304</v>
      </c>
      <c r="H7" s="97"/>
      <c r="I7" s="95"/>
    </row>
    <row r="8" spans="1:9" ht="12.75">
      <c r="A8" s="99"/>
      <c r="B8" s="102"/>
      <c r="C8" s="107"/>
      <c r="D8" s="103"/>
      <c r="E8" s="86"/>
      <c r="F8" s="94"/>
      <c r="G8" s="97" t="s">
        <v>305</v>
      </c>
      <c r="H8" s="97"/>
      <c r="I8" s="95"/>
    </row>
    <row r="9" spans="1:9" ht="12.75">
      <c r="A9" s="99"/>
      <c r="B9" s="102"/>
      <c r="C9" s="107"/>
      <c r="D9" s="103"/>
      <c r="E9" s="86"/>
      <c r="F9" s="94"/>
      <c r="G9" s="97" t="s">
        <v>306</v>
      </c>
      <c r="H9" s="97"/>
      <c r="I9" s="95"/>
    </row>
    <row r="10" spans="1:9" ht="12.75">
      <c r="A10" s="99"/>
      <c r="B10" s="102"/>
      <c r="C10" s="107"/>
      <c r="D10" s="103"/>
      <c r="E10" s="86"/>
      <c r="F10" s="94"/>
      <c r="G10" s="97" t="s">
        <v>307</v>
      </c>
      <c r="H10" s="97"/>
      <c r="I10" s="95"/>
    </row>
    <row r="11" spans="1:9" ht="12.75">
      <c r="A11" s="99"/>
      <c r="B11" s="102"/>
      <c r="C11" s="107"/>
      <c r="D11" s="103"/>
      <c r="E11" s="86"/>
      <c r="F11" s="94"/>
      <c r="G11" s="97" t="s">
        <v>308</v>
      </c>
      <c r="H11" s="97"/>
      <c r="I11" s="95"/>
    </row>
    <row r="12" spans="1:9" ht="12.75">
      <c r="A12" s="99"/>
      <c r="B12" s="102"/>
      <c r="C12" s="107"/>
      <c r="D12" s="103"/>
      <c r="E12" s="86"/>
      <c r="F12" s="94"/>
      <c r="G12" s="97" t="s">
        <v>309</v>
      </c>
      <c r="H12" s="97"/>
      <c r="I12" s="95"/>
    </row>
    <row r="13" spans="1:9" ht="12.75">
      <c r="A13" s="99"/>
      <c r="B13" s="102"/>
      <c r="C13" s="107"/>
      <c r="D13" s="103"/>
      <c r="E13" s="86"/>
      <c r="F13" s="94"/>
      <c r="G13" s="97" t="s">
        <v>310</v>
      </c>
      <c r="H13" s="97"/>
      <c r="I13" s="95"/>
    </row>
    <row r="14" spans="1:9" ht="12.75">
      <c r="A14" s="99"/>
      <c r="B14" s="102"/>
      <c r="C14" s="107"/>
      <c r="D14" s="103"/>
      <c r="E14" s="86"/>
      <c r="F14" s="94"/>
      <c r="G14" s="97" t="s">
        <v>311</v>
      </c>
      <c r="H14" s="97"/>
      <c r="I14" s="95"/>
    </row>
    <row r="15" spans="1:9" ht="12.75">
      <c r="A15" s="99"/>
      <c r="B15" s="102"/>
      <c r="C15" s="107"/>
      <c r="D15" s="103"/>
      <c r="E15" s="86"/>
      <c r="F15" s="94"/>
      <c r="G15" s="97" t="s">
        <v>312</v>
      </c>
      <c r="H15" s="97"/>
      <c r="I15" s="95"/>
    </row>
    <row r="16" spans="1:9" ht="12.75">
      <c r="A16" s="99"/>
      <c r="B16" s="102"/>
      <c r="C16" s="107"/>
      <c r="D16" s="103"/>
      <c r="E16" s="86"/>
      <c r="F16" s="94"/>
      <c r="G16" s="97" t="s">
        <v>313</v>
      </c>
      <c r="H16" s="97"/>
      <c r="I16" s="95"/>
    </row>
    <row r="17" spans="1:9" ht="12.75">
      <c r="A17" s="99"/>
      <c r="B17" s="102"/>
      <c r="C17" s="107"/>
      <c r="D17" s="103"/>
      <c r="E17" s="86"/>
      <c r="F17" s="94"/>
      <c r="G17" s="97" t="s">
        <v>314</v>
      </c>
      <c r="H17" s="97"/>
      <c r="I17" s="95"/>
    </row>
    <row r="18" spans="1:9" ht="12.75">
      <c r="A18" s="99"/>
      <c r="B18" s="102"/>
      <c r="C18" s="107"/>
      <c r="D18" s="103"/>
      <c r="E18" s="86"/>
      <c r="F18" s="94"/>
      <c r="G18" s="97" t="s">
        <v>315</v>
      </c>
      <c r="H18" s="97"/>
      <c r="I18" s="95"/>
    </row>
    <row r="19" spans="1:9" ht="12.75">
      <c r="A19" s="99"/>
      <c r="B19" s="102"/>
      <c r="C19" s="107"/>
      <c r="D19" s="103"/>
      <c r="E19" s="86"/>
      <c r="F19" s="94"/>
      <c r="G19" s="97" t="s">
        <v>316</v>
      </c>
      <c r="H19" s="97"/>
      <c r="I19" s="95"/>
    </row>
    <row r="20" spans="1:9" ht="12.75">
      <c r="A20" s="99"/>
      <c r="B20" s="102"/>
      <c r="C20" s="107"/>
      <c r="D20" s="103"/>
      <c r="E20" s="86"/>
      <c r="F20" s="94"/>
      <c r="G20" s="97" t="s">
        <v>317</v>
      </c>
      <c r="H20" s="97"/>
      <c r="I20" s="95"/>
    </row>
    <row r="21" spans="1:9" ht="12.75">
      <c r="A21" s="99"/>
      <c r="B21" s="102"/>
      <c r="C21" s="107"/>
      <c r="D21" s="103"/>
      <c r="E21" s="86"/>
      <c r="F21" s="94"/>
      <c r="G21" s="97" t="s">
        <v>318</v>
      </c>
      <c r="H21" s="97"/>
      <c r="I21" s="95"/>
    </row>
    <row r="22" spans="1:9" ht="12.75">
      <c r="A22" s="99"/>
      <c r="B22" s="102"/>
      <c r="C22" s="107"/>
      <c r="D22" s="103"/>
      <c r="E22" s="86"/>
      <c r="F22" s="94"/>
      <c r="G22" s="97" t="s">
        <v>319</v>
      </c>
      <c r="H22" s="97"/>
      <c r="I22" s="95"/>
    </row>
    <row r="23" spans="1:9" ht="12.75">
      <c r="A23" s="99"/>
      <c r="B23" s="102"/>
      <c r="C23" s="107"/>
      <c r="D23" s="103"/>
      <c r="E23" s="86"/>
      <c r="F23" s="94"/>
      <c r="G23" s="97" t="s">
        <v>320</v>
      </c>
      <c r="H23" s="97"/>
      <c r="I23" s="95"/>
    </row>
    <row r="24" spans="1:9" ht="12.75">
      <c r="A24" s="99"/>
      <c r="B24" s="102"/>
      <c r="C24" s="107"/>
      <c r="D24" s="103"/>
      <c r="E24" s="86"/>
      <c r="F24" s="94"/>
      <c r="G24" s="97" t="s">
        <v>321</v>
      </c>
      <c r="H24" s="97"/>
      <c r="I24" s="95"/>
    </row>
    <row r="25" spans="1:9" ht="12.75">
      <c r="A25" s="99"/>
      <c r="B25" s="102"/>
      <c r="C25" s="107"/>
      <c r="D25" s="103"/>
      <c r="E25" s="86"/>
      <c r="F25" s="94"/>
      <c r="G25" s="97" t="s">
        <v>322</v>
      </c>
      <c r="H25" s="97"/>
      <c r="I25" s="95"/>
    </row>
    <row r="26" spans="1:9" ht="12.75">
      <c r="A26" s="99"/>
      <c r="B26" s="102"/>
      <c r="C26" s="107"/>
      <c r="D26" s="103"/>
      <c r="E26" s="86"/>
      <c r="F26" s="94"/>
      <c r="G26" s="97" t="s">
        <v>323</v>
      </c>
      <c r="H26" s="97"/>
      <c r="I26" s="95"/>
    </row>
    <row r="27" spans="1:9" ht="12.75">
      <c r="A27" s="99"/>
      <c r="B27" s="102"/>
      <c r="C27" s="107"/>
      <c r="D27" s="103"/>
      <c r="E27" s="86"/>
      <c r="F27" s="94"/>
      <c r="G27" s="97" t="s">
        <v>324</v>
      </c>
      <c r="H27" s="97"/>
      <c r="I27" s="95"/>
    </row>
    <row r="28" spans="1:9" ht="12.75">
      <c r="A28" s="99"/>
      <c r="B28" s="102"/>
      <c r="C28" s="107"/>
      <c r="D28" s="103"/>
      <c r="E28" s="86"/>
      <c r="F28" s="94"/>
      <c r="G28" s="97" t="s">
        <v>325</v>
      </c>
      <c r="H28" s="97"/>
      <c r="I28" s="95"/>
    </row>
    <row r="29" spans="1:9" ht="12.75">
      <c r="A29" s="99"/>
      <c r="B29" s="102"/>
      <c r="C29" s="107"/>
      <c r="D29" s="103"/>
      <c r="E29" s="86"/>
      <c r="F29" s="94"/>
      <c r="G29" s="97" t="s">
        <v>326</v>
      </c>
      <c r="H29" s="97"/>
      <c r="I29" s="95"/>
    </row>
    <row r="30" spans="1:9" ht="12.75">
      <c r="A30" s="99"/>
      <c r="B30" s="102"/>
      <c r="C30" s="107"/>
      <c r="D30" s="103"/>
      <c r="E30" s="86"/>
      <c r="F30" s="94"/>
      <c r="G30" s="97" t="s">
        <v>327</v>
      </c>
      <c r="H30" s="97"/>
      <c r="I30" s="95"/>
    </row>
    <row r="31" spans="1:9" ht="12.75">
      <c r="A31" s="99"/>
      <c r="B31" s="102"/>
      <c r="C31" s="107"/>
      <c r="D31" s="103"/>
      <c r="E31" s="86"/>
      <c r="F31" s="94"/>
      <c r="G31" s="97" t="s">
        <v>328</v>
      </c>
      <c r="H31" s="97"/>
      <c r="I31" s="95"/>
    </row>
    <row r="32" spans="1:9" ht="12.75">
      <c r="A32" s="99"/>
      <c r="B32" s="102"/>
      <c r="C32" s="107"/>
      <c r="D32" s="103"/>
      <c r="E32" s="86"/>
      <c r="F32" s="94"/>
      <c r="G32" s="97" t="s">
        <v>329</v>
      </c>
      <c r="H32" s="97"/>
      <c r="I32" s="95"/>
    </row>
    <row r="33" spans="1:9" ht="12.75">
      <c r="A33" s="99"/>
      <c r="B33" s="102"/>
      <c r="C33" s="107"/>
      <c r="D33" s="103"/>
      <c r="E33" s="86"/>
      <c r="F33" s="94"/>
      <c r="G33" s="97" t="s">
        <v>330</v>
      </c>
      <c r="H33" s="97"/>
      <c r="I33" s="95"/>
    </row>
    <row r="34" spans="1:9" ht="12.75">
      <c r="A34" s="99"/>
      <c r="B34" s="102"/>
      <c r="C34" s="107"/>
      <c r="D34" s="103"/>
      <c r="E34" s="86"/>
      <c r="F34" s="94"/>
      <c r="G34" s="97" t="s">
        <v>331</v>
      </c>
      <c r="H34" s="97"/>
      <c r="I34" s="95"/>
    </row>
    <row r="35" spans="1:9" ht="12.75">
      <c r="A35" s="99"/>
      <c r="B35" s="102"/>
      <c r="C35" s="107"/>
      <c r="D35" s="103"/>
      <c r="E35" s="86"/>
      <c r="F35" s="94"/>
      <c r="G35" s="97" t="s">
        <v>332</v>
      </c>
      <c r="H35" s="97"/>
      <c r="I35" s="95"/>
    </row>
    <row r="36" spans="1:9" ht="12.75">
      <c r="A36" s="99"/>
      <c r="B36" s="102"/>
      <c r="C36" s="107"/>
      <c r="D36" s="103"/>
      <c r="E36" s="86"/>
      <c r="F36" s="94"/>
      <c r="G36" s="97" t="s">
        <v>333</v>
      </c>
      <c r="H36" s="97"/>
      <c r="I36" s="95"/>
    </row>
    <row r="37" spans="1:9" ht="12.75">
      <c r="A37" s="99"/>
      <c r="B37" s="102"/>
      <c r="C37" s="107"/>
      <c r="D37" s="103"/>
      <c r="E37" s="86"/>
      <c r="F37" s="94"/>
      <c r="G37" s="97" t="s">
        <v>334</v>
      </c>
      <c r="H37" s="97"/>
      <c r="I37" s="95"/>
    </row>
    <row r="38" spans="1:9" ht="12.75">
      <c r="A38" s="99"/>
      <c r="B38" s="102"/>
      <c r="C38" s="107"/>
      <c r="D38" s="103"/>
      <c r="E38" s="86"/>
      <c r="F38" s="94"/>
      <c r="G38" s="97" t="s">
        <v>335</v>
      </c>
      <c r="H38" s="97"/>
      <c r="I38" s="95"/>
    </row>
    <row r="39" spans="1:9" ht="12.75">
      <c r="A39" s="99"/>
      <c r="B39" s="102"/>
      <c r="C39" s="107"/>
      <c r="D39" s="103"/>
      <c r="E39" s="86"/>
      <c r="F39" s="94"/>
      <c r="G39" s="97" t="s">
        <v>336</v>
      </c>
      <c r="H39" s="97"/>
      <c r="I39" s="95"/>
    </row>
    <row r="40" spans="1:9" ht="12.75">
      <c r="A40" s="99"/>
      <c r="B40" s="102"/>
      <c r="C40" s="107"/>
      <c r="D40" s="103"/>
      <c r="E40" s="86"/>
      <c r="F40" s="94"/>
      <c r="G40" s="97" t="s">
        <v>337</v>
      </c>
      <c r="H40" s="97"/>
      <c r="I40" s="95"/>
    </row>
    <row r="41" spans="1:9" ht="12.75">
      <c r="A41" s="99"/>
      <c r="B41" s="102"/>
      <c r="C41" s="107"/>
      <c r="D41" s="103"/>
      <c r="E41" s="86"/>
      <c r="F41" s="94"/>
      <c r="G41" s="97" t="s">
        <v>338</v>
      </c>
      <c r="H41" s="97"/>
      <c r="I41" s="95"/>
    </row>
    <row r="42" spans="1:9" ht="12.75">
      <c r="A42" s="99"/>
      <c r="B42" s="102"/>
      <c r="C42" s="107"/>
      <c r="D42" s="103"/>
      <c r="E42" s="86"/>
      <c r="F42" s="94"/>
      <c r="G42" s="97" t="s">
        <v>339</v>
      </c>
      <c r="H42" s="97"/>
      <c r="I42" s="95"/>
    </row>
    <row r="43" spans="1:9" ht="12.75">
      <c r="A43" s="99"/>
      <c r="B43" s="102"/>
      <c r="C43" s="107"/>
      <c r="D43" s="103"/>
      <c r="E43" s="86"/>
      <c r="F43" s="94"/>
      <c r="G43" s="97" t="s">
        <v>340</v>
      </c>
      <c r="H43" s="97"/>
      <c r="I43" s="95"/>
    </row>
    <row r="44" spans="1:9" ht="12.75">
      <c r="A44" s="99"/>
      <c r="B44" s="104"/>
      <c r="C44" s="108"/>
      <c r="D44" s="105"/>
      <c r="E44" s="86"/>
      <c r="F44" s="94"/>
      <c r="G44" s="98" t="s">
        <v>341</v>
      </c>
      <c r="H44" s="98"/>
      <c r="I44" s="95"/>
    </row>
    <row r="45" spans="2:8" ht="12.75">
      <c r="B45" s="86"/>
      <c r="C45" s="86"/>
      <c r="D45" s="86"/>
      <c r="E45" s="86"/>
      <c r="G45" s="91"/>
      <c r="H45" s="91"/>
    </row>
    <row r="46" spans="2:5" ht="12.75">
      <c r="B46" s="86"/>
      <c r="C46" s="86"/>
      <c r="D46" s="86"/>
      <c r="E46" s="86"/>
    </row>
    <row r="47" spans="2:5" ht="12.75">
      <c r="B47" s="86"/>
      <c r="C47" s="86"/>
      <c r="D47" s="86"/>
      <c r="E47" s="86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9" r:id="rId1"/>
  <headerFooter alignWithMargins="0">
    <oddFooter>&amp;LInternational Energy Agency&amp;CEnergy Statistics Division&amp;RAnnual Coal Mini Questionnaire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06">
    <tabColor rgb="FFFF0000"/>
  </sheetPr>
  <dimension ref="A1:F7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2.8515625" style="19" customWidth="1"/>
    <col min="2" max="2" width="7.00390625" style="20" customWidth="1"/>
    <col min="3" max="3" width="6.28125" style="20" customWidth="1"/>
  </cols>
  <sheetData>
    <row r="1" spans="1:6" ht="12.75">
      <c r="A1" t="s">
        <v>193</v>
      </c>
      <c r="B1" s="21" t="s">
        <v>159</v>
      </c>
      <c r="C1"/>
      <c r="D1" s="19"/>
      <c r="E1" s="19"/>
      <c r="F1" s="19"/>
    </row>
    <row r="2" spans="1:6" ht="12.75">
      <c r="A2"/>
      <c r="B2">
        <v>2020</v>
      </c>
      <c r="C2" s="21" t="s">
        <v>685</v>
      </c>
      <c r="D2" s="19"/>
      <c r="E2" s="19"/>
      <c r="F2" s="19"/>
    </row>
    <row r="3" spans="1:6" ht="12.75">
      <c r="A3"/>
      <c r="B3" s="44"/>
      <c r="C3" s="44"/>
      <c r="D3" s="19"/>
      <c r="E3" s="19"/>
      <c r="F3" s="19"/>
    </row>
    <row r="4" spans="1:6" ht="12.75">
      <c r="A4"/>
      <c r="B4" s="44"/>
      <c r="C4" s="44"/>
      <c r="D4" s="19"/>
      <c r="E4" s="19"/>
      <c r="F4" s="19"/>
    </row>
    <row r="5" spans="1:6" ht="12.75">
      <c r="A5"/>
      <c r="B5" s="44"/>
      <c r="C5" s="44"/>
      <c r="D5" s="19"/>
      <c r="E5" s="19"/>
      <c r="F5" s="19"/>
    </row>
    <row r="6" spans="1:6" ht="12.75">
      <c r="A6"/>
      <c r="B6" s="44"/>
      <c r="C6" s="44"/>
      <c r="D6" s="19"/>
      <c r="E6" s="19"/>
      <c r="F6" s="19"/>
    </row>
    <row r="7" spans="1:6" ht="12.75">
      <c r="A7"/>
      <c r="B7" s="44"/>
      <c r="C7" s="44"/>
      <c r="D7" s="19"/>
      <c r="E7" s="19"/>
      <c r="F7" s="19"/>
    </row>
    <row r="8" spans="1:6" ht="12.75">
      <c r="A8"/>
      <c r="B8" s="44"/>
      <c r="C8" s="44"/>
      <c r="D8" s="19"/>
      <c r="E8" s="19"/>
      <c r="F8" s="19"/>
    </row>
    <row r="9" spans="1:6" ht="12.75">
      <c r="A9"/>
      <c r="B9" s="44"/>
      <c r="C9" s="44"/>
      <c r="D9" s="19"/>
      <c r="E9" s="19"/>
      <c r="F9" s="19"/>
    </row>
    <row r="10" spans="1:3" ht="12.75">
      <c r="A10"/>
      <c r="B10" s="44"/>
      <c r="C10" s="44"/>
    </row>
    <row r="11" spans="1:3" ht="12.75">
      <c r="A11"/>
      <c r="B11" s="44"/>
      <c r="C11" s="44"/>
    </row>
    <row r="12" spans="1:3" ht="12.75">
      <c r="A12"/>
      <c r="B12" s="44"/>
      <c r="C12" s="44"/>
    </row>
    <row r="13" spans="1:3" ht="12.75">
      <c r="A13"/>
      <c r="B13" s="44"/>
      <c r="C13" s="44"/>
    </row>
    <row r="14" spans="1:3" ht="12.75">
      <c r="A14"/>
      <c r="B14" s="44"/>
      <c r="C14" s="44"/>
    </row>
    <row r="15" spans="1:3" ht="12.75">
      <c r="A15"/>
      <c r="B15" s="44"/>
      <c r="C15" s="44"/>
    </row>
    <row r="16" spans="1:3" ht="12.75">
      <c r="A16"/>
      <c r="B16" s="44"/>
      <c r="C16" s="44"/>
    </row>
    <row r="17" spans="1:3" ht="12.75">
      <c r="A17"/>
      <c r="B17" s="44"/>
      <c r="C17" s="44"/>
    </row>
    <row r="18" spans="1:3" ht="12.75">
      <c r="A18"/>
      <c r="B18" s="44"/>
      <c r="C18" s="44"/>
    </row>
    <row r="19" spans="1:3" ht="12.75">
      <c r="A19"/>
      <c r="B19" s="44"/>
      <c r="C19" s="44"/>
    </row>
    <row r="20" spans="1:3" ht="12.75">
      <c r="A20"/>
      <c r="B20" s="44"/>
      <c r="C20" s="44"/>
    </row>
    <row r="21" spans="1:3" ht="12.75">
      <c r="A21"/>
      <c r="B21" s="44"/>
      <c r="C21" s="44"/>
    </row>
    <row r="22" spans="1:3" ht="12.75">
      <c r="A22"/>
      <c r="B22" s="44"/>
      <c r="C22" s="44"/>
    </row>
    <row r="23" spans="1:3" ht="12.75">
      <c r="A23"/>
      <c r="B23" s="44"/>
      <c r="C23" s="44"/>
    </row>
    <row r="24" spans="1:3" ht="12.75">
      <c r="A24"/>
      <c r="B24" s="44"/>
      <c r="C24" s="44"/>
    </row>
    <row r="25" spans="1:3" ht="12.75">
      <c r="A25"/>
      <c r="B25" s="44"/>
      <c r="C25" s="44"/>
    </row>
    <row r="26" spans="1:3" ht="12.75">
      <c r="A26"/>
      <c r="B26" s="44"/>
      <c r="C26" s="44"/>
    </row>
    <row r="27" spans="1:3" ht="12.75">
      <c r="A27"/>
      <c r="B27" s="44"/>
      <c r="C27" s="44"/>
    </row>
    <row r="28" spans="1:3" ht="12.75">
      <c r="A28"/>
      <c r="B28" s="44"/>
      <c r="C28" s="44"/>
    </row>
    <row r="29" spans="1:3" ht="12.75">
      <c r="A29"/>
      <c r="B29" s="44"/>
      <c r="C29" s="44"/>
    </row>
    <row r="30" spans="1:3" ht="12.75">
      <c r="A30"/>
      <c r="B30" s="44"/>
      <c r="C30" s="44"/>
    </row>
    <row r="31" spans="1:3" ht="12.75">
      <c r="A31"/>
      <c r="B31" s="44"/>
      <c r="C31" s="44"/>
    </row>
    <row r="32" spans="1:3" ht="12.75">
      <c r="A32"/>
      <c r="B32" s="44"/>
      <c r="C32" s="44"/>
    </row>
    <row r="33" spans="1:3" ht="12.75">
      <c r="A33"/>
      <c r="B33" s="44"/>
      <c r="C33" s="44"/>
    </row>
    <row r="34" spans="1:3" ht="12.75">
      <c r="A34"/>
      <c r="B34" s="44"/>
      <c r="C34" s="44"/>
    </row>
    <row r="35" spans="1:3" ht="12.75">
      <c r="A35"/>
      <c r="B35" s="44"/>
      <c r="C35" s="44"/>
    </row>
    <row r="36" spans="1:3" ht="12.75">
      <c r="A36"/>
      <c r="B36" s="44"/>
      <c r="C36" s="44"/>
    </row>
    <row r="37" spans="1:3" ht="12.75">
      <c r="A37"/>
      <c r="B37" s="44"/>
      <c r="C37" s="44"/>
    </row>
    <row r="38" spans="1:3" ht="12.75">
      <c r="A38"/>
      <c r="B38" s="44"/>
      <c r="C38" s="44"/>
    </row>
    <row r="39" spans="1:3" ht="12.75">
      <c r="A39"/>
      <c r="B39" s="44"/>
      <c r="C39" s="44"/>
    </row>
    <row r="40" spans="1:3" ht="12.75">
      <c r="A40"/>
      <c r="B40" s="44"/>
      <c r="C40" s="44"/>
    </row>
    <row r="41" spans="1:3" ht="12.75">
      <c r="A41"/>
      <c r="B41" s="44"/>
      <c r="C41" s="44"/>
    </row>
    <row r="42" spans="1:3" ht="12.75">
      <c r="A42"/>
      <c r="B42" s="44"/>
      <c r="C42" s="44"/>
    </row>
    <row r="43" spans="1:3" ht="12.75">
      <c r="A43"/>
      <c r="B43" s="44"/>
      <c r="C43" s="44"/>
    </row>
    <row r="44" spans="1:3" ht="12.75">
      <c r="A44"/>
      <c r="B44" s="44"/>
      <c r="C44" s="44"/>
    </row>
    <row r="45" spans="1:3" ht="12.75">
      <c r="A45"/>
      <c r="B45" s="44"/>
      <c r="C45" s="44"/>
    </row>
    <row r="46" spans="1:3" ht="12.75">
      <c r="A46"/>
      <c r="B46" s="44"/>
      <c r="C46" s="44"/>
    </row>
    <row r="47" spans="1:3" ht="12.75">
      <c r="A47"/>
      <c r="B47" s="44"/>
      <c r="C47" s="44"/>
    </row>
    <row r="48" spans="1:3" ht="12.75">
      <c r="A48"/>
      <c r="B48" s="44"/>
      <c r="C48" s="44"/>
    </row>
    <row r="49" spans="1:3" ht="12.75">
      <c r="A49"/>
      <c r="B49" s="44"/>
      <c r="C49" s="44"/>
    </row>
    <row r="50" spans="1:3" ht="12.75">
      <c r="A50"/>
      <c r="B50" s="44"/>
      <c r="C50" s="44"/>
    </row>
    <row r="51" spans="1:3" ht="12.75">
      <c r="A51"/>
      <c r="B51" s="44"/>
      <c r="C51" s="44"/>
    </row>
    <row r="52" spans="1:3" ht="12.75">
      <c r="A52"/>
      <c r="B52" s="44"/>
      <c r="C52" s="44"/>
    </row>
    <row r="53" spans="1:3" ht="12.75">
      <c r="A53"/>
      <c r="B53" s="44"/>
      <c r="C53" s="44"/>
    </row>
    <row r="54" spans="1:3" ht="12.75">
      <c r="A54"/>
      <c r="B54" s="44"/>
      <c r="C54" s="44"/>
    </row>
    <row r="55" spans="1:3" ht="12.75">
      <c r="A55"/>
      <c r="B55" s="44"/>
      <c r="C55" s="44"/>
    </row>
    <row r="56" spans="1:3" ht="12.75">
      <c r="A56"/>
      <c r="B56" s="44"/>
      <c r="C56" s="44"/>
    </row>
    <row r="57" spans="1:3" ht="12.75">
      <c r="A57"/>
      <c r="B57" s="44"/>
      <c r="C57" s="44"/>
    </row>
    <row r="58" spans="1:3" ht="12.75">
      <c r="A58"/>
      <c r="B58" s="44"/>
      <c r="C58" s="44"/>
    </row>
    <row r="59" spans="1:3" ht="12.75">
      <c r="A59"/>
      <c r="B59" s="44"/>
      <c r="C59" s="44"/>
    </row>
    <row r="60" spans="1:3" ht="12.75">
      <c r="A60"/>
      <c r="B60" s="44"/>
      <c r="C60" s="44"/>
    </row>
    <row r="61" spans="1:3" ht="12.75">
      <c r="A61"/>
      <c r="B61" s="44"/>
      <c r="C61" s="44"/>
    </row>
    <row r="62" spans="1:3" ht="12.75">
      <c r="A62"/>
      <c r="B62" s="44"/>
      <c r="C62" s="44"/>
    </row>
    <row r="63" spans="1:3" ht="12.75">
      <c r="A63"/>
      <c r="B63" s="44"/>
      <c r="C63" s="44"/>
    </row>
    <row r="64" spans="1:3" ht="12.75">
      <c r="A64"/>
      <c r="B64" s="44"/>
      <c r="C64" s="44"/>
    </row>
    <row r="65" spans="1:3" ht="12.75">
      <c r="A65"/>
      <c r="B65" s="44"/>
      <c r="C65" s="44"/>
    </row>
    <row r="66" spans="1:3" ht="12.75">
      <c r="A66"/>
      <c r="B66" s="44"/>
      <c r="C66" s="44"/>
    </row>
    <row r="67" spans="1:3" ht="12.75">
      <c r="A67"/>
      <c r="B67" s="44"/>
      <c r="C67" s="44"/>
    </row>
    <row r="68" spans="1:3" ht="12.75">
      <c r="A68"/>
      <c r="B68" s="44"/>
      <c r="C68" s="44"/>
    </row>
    <row r="69" spans="1:3" ht="12.75">
      <c r="A69"/>
      <c r="B69" s="44"/>
      <c r="C69" s="44"/>
    </row>
    <row r="70" spans="1:3" ht="12.75">
      <c r="A70"/>
      <c r="B70" s="44"/>
      <c r="C70" s="44"/>
    </row>
    <row r="71" spans="1:3" ht="12.75">
      <c r="A71"/>
      <c r="B71" s="44"/>
      <c r="C71" s="44"/>
    </row>
    <row r="72" spans="1:3" ht="12.75">
      <c r="A72"/>
      <c r="B72" s="44"/>
      <c r="C72" s="4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07">
    <tabColor rgb="FFFF0000"/>
    <pageSetUpPr fitToPage="1"/>
  </sheetPr>
  <dimension ref="B2:K61"/>
  <sheetViews>
    <sheetView showGridLines="0" zoomScalePageLayoutView="0" workbookViewId="0" topLeftCell="A22">
      <selection activeCell="C14" sqref="C14"/>
    </sheetView>
  </sheetViews>
  <sheetFormatPr defaultColWidth="9.140625" defaultRowHeight="12.75"/>
  <cols>
    <col min="1" max="1" width="3.8515625" style="0" customWidth="1"/>
    <col min="2" max="2" width="5.140625" style="0" customWidth="1"/>
    <col min="3" max="3" width="17.28125" style="0" customWidth="1"/>
    <col min="4" max="4" width="11.140625" style="0" bestFit="1" customWidth="1"/>
    <col min="5" max="5" width="5.140625" style="0" customWidth="1"/>
  </cols>
  <sheetData>
    <row r="2" spans="2:5" ht="20.25">
      <c r="B2" s="47" t="s">
        <v>191</v>
      </c>
      <c r="C2" s="48"/>
      <c r="D2" s="24"/>
      <c r="E2" s="24"/>
    </row>
    <row r="3" spans="2:5" ht="12.75">
      <c r="B3" s="24"/>
      <c r="C3" s="24"/>
      <c r="D3" s="24"/>
      <c r="E3" s="24"/>
    </row>
    <row r="4" spans="2:5" ht="12.75">
      <c r="B4" s="24"/>
      <c r="C4" s="24"/>
      <c r="D4" s="24"/>
      <c r="E4" s="24"/>
    </row>
    <row r="5" spans="2:5" ht="13.5" thickBot="1">
      <c r="B5" s="24"/>
      <c r="C5" s="49" t="s">
        <v>192</v>
      </c>
      <c r="D5" s="24"/>
      <c r="E5" s="24"/>
    </row>
    <row r="6" spans="2:5" ht="12.75">
      <c r="B6" s="24"/>
      <c r="C6" s="50" t="s">
        <v>190</v>
      </c>
      <c r="D6" s="51" t="s">
        <v>193</v>
      </c>
      <c r="E6" s="52" t="s">
        <v>194</v>
      </c>
    </row>
    <row r="7" spans="2:5" ht="12.75">
      <c r="B7" s="24"/>
      <c r="C7" s="53" t="s">
        <v>159</v>
      </c>
      <c r="D7" s="54" t="s">
        <v>17</v>
      </c>
      <c r="E7" s="55" t="s">
        <v>195</v>
      </c>
    </row>
    <row r="8" spans="2:5" ht="12.75">
      <c r="B8" s="24"/>
      <c r="C8" s="56" t="s">
        <v>160</v>
      </c>
      <c r="D8" s="57" t="s">
        <v>18</v>
      </c>
      <c r="E8" s="58" t="s">
        <v>196</v>
      </c>
    </row>
    <row r="9" spans="2:5" ht="12.75">
      <c r="B9" s="24"/>
      <c r="C9" s="56" t="s">
        <v>163</v>
      </c>
      <c r="D9" s="57" t="s">
        <v>19</v>
      </c>
      <c r="E9" s="58" t="s">
        <v>197</v>
      </c>
    </row>
    <row r="10" spans="2:5" ht="12.75">
      <c r="B10" s="24"/>
      <c r="C10" s="56" t="s">
        <v>98</v>
      </c>
      <c r="D10" s="57" t="s">
        <v>22</v>
      </c>
      <c r="E10" s="58" t="s">
        <v>198</v>
      </c>
    </row>
    <row r="11" spans="2:5" ht="12.75">
      <c r="B11" s="24"/>
      <c r="C11" s="110" t="s">
        <v>100</v>
      </c>
      <c r="D11" s="111" t="s">
        <v>99</v>
      </c>
      <c r="E11" s="112" t="s">
        <v>258</v>
      </c>
    </row>
    <row r="12" spans="2:5" ht="12.75">
      <c r="B12" s="24"/>
      <c r="C12" s="110" t="s">
        <v>25</v>
      </c>
      <c r="D12" s="111" t="s">
        <v>24</v>
      </c>
      <c r="E12" s="112" t="s">
        <v>260</v>
      </c>
    </row>
    <row r="13" spans="2:5" ht="12.75">
      <c r="B13" s="24"/>
      <c r="C13" s="110" t="s">
        <v>459</v>
      </c>
      <c r="D13" s="111" t="s">
        <v>549</v>
      </c>
      <c r="E13" s="112" t="s">
        <v>548</v>
      </c>
    </row>
    <row r="14" spans="2:5" ht="12.75">
      <c r="B14" s="24"/>
      <c r="C14" s="56" t="s">
        <v>26</v>
      </c>
      <c r="D14" s="57" t="s">
        <v>180</v>
      </c>
      <c r="E14" s="58" t="s">
        <v>199</v>
      </c>
    </row>
    <row r="15" spans="2:5" ht="12.75">
      <c r="B15" s="24"/>
      <c r="C15" s="56" t="s">
        <v>103</v>
      </c>
      <c r="D15" s="57" t="s">
        <v>27</v>
      </c>
      <c r="E15" s="58" t="s">
        <v>200</v>
      </c>
    </row>
    <row r="16" spans="2:5" ht="12.75">
      <c r="B16" s="24"/>
      <c r="C16" s="110" t="s">
        <v>166</v>
      </c>
      <c r="D16" s="111" t="s">
        <v>68</v>
      </c>
      <c r="E16" s="112" t="s">
        <v>263</v>
      </c>
    </row>
    <row r="17" spans="2:5" ht="12.75">
      <c r="B17" s="24"/>
      <c r="C17" s="56" t="s">
        <v>106</v>
      </c>
      <c r="D17" s="57" t="s">
        <v>28</v>
      </c>
      <c r="E17" s="58" t="s">
        <v>201</v>
      </c>
    </row>
    <row r="18" spans="2:5" ht="12.75">
      <c r="B18" s="24"/>
      <c r="C18" s="56" t="s">
        <v>4</v>
      </c>
      <c r="D18" s="57" t="s">
        <v>29</v>
      </c>
      <c r="E18" s="58" t="s">
        <v>202</v>
      </c>
    </row>
    <row r="19" spans="2:5" ht="12.75">
      <c r="B19" s="24"/>
      <c r="C19" s="56" t="s">
        <v>107</v>
      </c>
      <c r="D19" s="57" t="s">
        <v>30</v>
      </c>
      <c r="E19" s="58" t="s">
        <v>203</v>
      </c>
    </row>
    <row r="20" spans="2:5" ht="12.75">
      <c r="B20" s="24"/>
      <c r="C20" s="56" t="s">
        <v>108</v>
      </c>
      <c r="D20" s="57" t="s">
        <v>31</v>
      </c>
      <c r="E20" s="58" t="s">
        <v>204</v>
      </c>
    </row>
    <row r="21" spans="2:5" ht="12.75">
      <c r="B21" s="24"/>
      <c r="C21" s="56" t="s">
        <v>33</v>
      </c>
      <c r="D21" s="57" t="s">
        <v>32</v>
      </c>
      <c r="E21" s="58" t="s">
        <v>205</v>
      </c>
    </row>
    <row r="22" spans="2:5" ht="12.75">
      <c r="B22" s="24"/>
      <c r="C22" s="59" t="s">
        <v>35</v>
      </c>
      <c r="D22" s="60" t="s">
        <v>34</v>
      </c>
      <c r="E22" s="61" t="s">
        <v>206</v>
      </c>
    </row>
    <row r="23" spans="2:5" ht="12.75">
      <c r="B23" s="24"/>
      <c r="C23" s="59" t="s">
        <v>40</v>
      </c>
      <c r="D23" s="60" t="s">
        <v>39</v>
      </c>
      <c r="E23" s="61" t="s">
        <v>269</v>
      </c>
    </row>
    <row r="24" spans="2:5" ht="12.75">
      <c r="B24" s="24"/>
      <c r="C24" s="56" t="s">
        <v>112</v>
      </c>
      <c r="D24" s="57" t="s">
        <v>38</v>
      </c>
      <c r="E24" s="58" t="s">
        <v>207</v>
      </c>
    </row>
    <row r="25" spans="2:5" ht="12.75">
      <c r="B25" s="24"/>
      <c r="C25" s="56" t="s">
        <v>113</v>
      </c>
      <c r="D25" s="57" t="s">
        <v>41</v>
      </c>
      <c r="E25" s="58" t="s">
        <v>208</v>
      </c>
    </row>
    <row r="26" spans="2:5" ht="12.75">
      <c r="B26" s="24"/>
      <c r="C26" s="56" t="s">
        <v>114</v>
      </c>
      <c r="D26" s="57" t="s">
        <v>42</v>
      </c>
      <c r="E26" s="58" t="s">
        <v>209</v>
      </c>
    </row>
    <row r="27" spans="2:5" ht="12.75">
      <c r="B27" s="24"/>
      <c r="C27" s="56" t="s">
        <v>116</v>
      </c>
      <c r="D27" s="57" t="s">
        <v>115</v>
      </c>
      <c r="E27" s="58" t="s">
        <v>210</v>
      </c>
    </row>
    <row r="28" spans="2:5" ht="12.75">
      <c r="B28" s="24"/>
      <c r="C28" s="56" t="s">
        <v>170</v>
      </c>
      <c r="D28" s="57" t="s">
        <v>72</v>
      </c>
      <c r="E28" s="58" t="s">
        <v>440</v>
      </c>
    </row>
    <row r="29" spans="2:5" ht="12.75">
      <c r="B29" s="24"/>
      <c r="C29" s="59" t="s">
        <v>171</v>
      </c>
      <c r="D29" s="60" t="s">
        <v>73</v>
      </c>
      <c r="E29" s="61" t="s">
        <v>274</v>
      </c>
    </row>
    <row r="30" spans="2:5" ht="12.75">
      <c r="B30" s="24"/>
      <c r="C30" s="56" t="s">
        <v>44</v>
      </c>
      <c r="D30" s="57" t="s">
        <v>43</v>
      </c>
      <c r="E30" s="58" t="s">
        <v>211</v>
      </c>
    </row>
    <row r="31" spans="2:5" ht="12.75">
      <c r="B31" s="24"/>
      <c r="C31" s="59" t="s">
        <v>46</v>
      </c>
      <c r="D31" s="60" t="s">
        <v>45</v>
      </c>
      <c r="E31" s="61" t="s">
        <v>212</v>
      </c>
    </row>
    <row r="32" spans="2:5" ht="12.75">
      <c r="B32" s="24"/>
      <c r="C32" s="56" t="s">
        <v>123</v>
      </c>
      <c r="D32" s="57" t="s">
        <v>49</v>
      </c>
      <c r="E32" s="58" t="s">
        <v>213</v>
      </c>
    </row>
    <row r="33" spans="2:5" ht="12.75">
      <c r="B33" s="24"/>
      <c r="C33" s="56" t="s">
        <v>124</v>
      </c>
      <c r="D33" s="57" t="s">
        <v>50</v>
      </c>
      <c r="E33" s="58" t="s">
        <v>50</v>
      </c>
    </row>
    <row r="34" spans="2:5" ht="12.75">
      <c r="B34" s="24"/>
      <c r="C34" s="56" t="s">
        <v>125</v>
      </c>
      <c r="D34" s="57" t="s">
        <v>51</v>
      </c>
      <c r="E34" s="58" t="s">
        <v>214</v>
      </c>
    </row>
    <row r="35" spans="2:5" ht="12.75">
      <c r="B35" s="24"/>
      <c r="C35" s="56" t="s">
        <v>53</v>
      </c>
      <c r="D35" s="57" t="s">
        <v>52</v>
      </c>
      <c r="E35" s="58" t="s">
        <v>215</v>
      </c>
    </row>
    <row r="36" spans="2:5" ht="12.75">
      <c r="B36" s="24"/>
      <c r="C36" s="56" t="s">
        <v>134</v>
      </c>
      <c r="D36" s="57" t="s">
        <v>54</v>
      </c>
      <c r="E36" s="58" t="s">
        <v>216</v>
      </c>
    </row>
    <row r="37" spans="2:5" ht="12.75">
      <c r="B37" s="24"/>
      <c r="C37" s="110" t="s">
        <v>345</v>
      </c>
      <c r="D37" s="111" t="s">
        <v>75</v>
      </c>
      <c r="E37" s="112" t="s">
        <v>287</v>
      </c>
    </row>
    <row r="38" spans="2:5" ht="12.75">
      <c r="B38" s="24"/>
      <c r="C38" s="56" t="s">
        <v>58</v>
      </c>
      <c r="D38" s="57" t="s">
        <v>57</v>
      </c>
      <c r="E38" s="58" t="s">
        <v>217</v>
      </c>
    </row>
    <row r="39" spans="2:5" ht="12.75">
      <c r="B39" s="24"/>
      <c r="C39" s="110" t="s">
        <v>174</v>
      </c>
      <c r="D39" s="111" t="s">
        <v>86</v>
      </c>
      <c r="E39" s="112" t="s">
        <v>288</v>
      </c>
    </row>
    <row r="40" spans="2:5" ht="12.75">
      <c r="B40" s="24"/>
      <c r="C40" s="56" t="s">
        <v>135</v>
      </c>
      <c r="D40" s="57" t="s">
        <v>61</v>
      </c>
      <c r="E40" s="58" t="s">
        <v>218</v>
      </c>
    </row>
    <row r="41" spans="2:5" ht="12.75">
      <c r="B41" s="24"/>
      <c r="C41" s="56" t="s">
        <v>136</v>
      </c>
      <c r="D41" s="57" t="s">
        <v>62</v>
      </c>
      <c r="E41" s="58" t="s">
        <v>219</v>
      </c>
    </row>
    <row r="42" spans="2:5" ht="12.75">
      <c r="B42" s="24"/>
      <c r="C42" s="56" t="s">
        <v>137</v>
      </c>
      <c r="D42" s="57" t="s">
        <v>63</v>
      </c>
      <c r="E42" s="58" t="s">
        <v>220</v>
      </c>
    </row>
    <row r="43" spans="2:5" ht="12.75">
      <c r="B43" s="24"/>
      <c r="C43" s="56" t="s">
        <v>140</v>
      </c>
      <c r="D43" s="57" t="s">
        <v>64</v>
      </c>
      <c r="E43" s="58" t="s">
        <v>221</v>
      </c>
    </row>
    <row r="44" spans="2:5" ht="12.75">
      <c r="B44" s="24"/>
      <c r="C44" s="56" t="s">
        <v>90</v>
      </c>
      <c r="D44" s="57" t="s">
        <v>80</v>
      </c>
      <c r="E44" s="58" t="s">
        <v>222</v>
      </c>
    </row>
    <row r="45" spans="2:5" ht="13.5" thickBot="1">
      <c r="B45" s="24"/>
      <c r="C45" s="113" t="s">
        <v>141</v>
      </c>
      <c r="D45" s="114" t="s">
        <v>81</v>
      </c>
      <c r="E45" s="115" t="s">
        <v>223</v>
      </c>
    </row>
    <row r="46" spans="2:5" ht="12.75">
      <c r="B46" s="24"/>
      <c r="C46" s="24"/>
      <c r="D46" s="24"/>
      <c r="E46" s="24"/>
    </row>
    <row r="47" spans="2:5" ht="12.75">
      <c r="B47" s="24"/>
      <c r="C47" s="24"/>
      <c r="D47" s="24"/>
      <c r="E47" s="24"/>
    </row>
    <row r="48" spans="2:5" ht="12.75">
      <c r="B48" s="24"/>
      <c r="C48" s="62" t="s">
        <v>224</v>
      </c>
      <c r="D48" s="63" t="b">
        <v>1</v>
      </c>
      <c r="E48" s="24"/>
    </row>
    <row r="49" spans="2:5" ht="12.75">
      <c r="B49" s="24"/>
      <c r="C49" s="24"/>
      <c r="D49" s="24"/>
      <c r="E49" s="24"/>
    </row>
    <row r="50" spans="2:5" ht="12.75">
      <c r="B50" s="24"/>
      <c r="C50" s="24"/>
      <c r="D50" s="24"/>
      <c r="E50" s="24"/>
    </row>
    <row r="52" spans="2:11" ht="31.5">
      <c r="B52" s="47" t="s">
        <v>225</v>
      </c>
      <c r="C52" s="48"/>
      <c r="D52" s="48"/>
      <c r="E52" s="24"/>
      <c r="F52" s="64" t="s">
        <v>226</v>
      </c>
      <c r="G52" s="65" t="s">
        <v>227</v>
      </c>
      <c r="H52" s="24"/>
      <c r="I52" s="24"/>
      <c r="J52" s="24"/>
      <c r="K52" s="64" t="s">
        <v>226</v>
      </c>
    </row>
    <row r="55" spans="3:4" ht="12.75">
      <c r="C55" s="66" t="s">
        <v>228</v>
      </c>
      <c r="D55" s="67">
        <f>IF(DataCountry=0,1,IF(ISERROR(MATCH(DataCountry,CountryList,0)),1,MATCH(DataCountry,CountryList,0)))</f>
        <v>2</v>
      </c>
    </row>
    <row r="56" spans="3:4" ht="12.75">
      <c r="C56" s="66" t="s">
        <v>229</v>
      </c>
      <c r="D56" s="67" t="str">
        <f>INDEX(CountryIeaList,CountryIndex,1)</f>
        <v>AUSTRALI</v>
      </c>
    </row>
    <row r="57" spans="3:4" ht="12.75">
      <c r="C57" s="66" t="s">
        <v>230</v>
      </c>
      <c r="D57" s="67" t="str">
        <f>INDEX(CountryIsoList,CountryIndex,1)</f>
        <v>AU</v>
      </c>
    </row>
    <row r="58" spans="3:4" ht="12.75">
      <c r="C58" s="24"/>
      <c r="D58" s="24"/>
    </row>
    <row r="59" spans="3:5" ht="12.75">
      <c r="C59" s="68" t="s">
        <v>231</v>
      </c>
      <c r="D59" s="69" t="s">
        <v>17</v>
      </c>
      <c r="E59" s="70" t="s">
        <v>232</v>
      </c>
    </row>
    <row r="60" spans="3:5" ht="12.75">
      <c r="C60" s="68"/>
      <c r="D60" s="67">
        <f>IF(ISERROR(MATCH(CsvCountry,CountryIeaList,0))=FALSE,MATCH(CsvCountry,CountryIeaList,0),IF(ISERROR(MATCH(CsvCountry,CountryIsoList,0))=FALSE,MATCH(CsvCountry,CountryIsoList,0),0))</f>
        <v>2</v>
      </c>
      <c r="E60" s="70"/>
    </row>
    <row r="61" spans="3:5" ht="12.75">
      <c r="C61" s="68" t="s">
        <v>233</v>
      </c>
      <c r="D61" s="67" t="str">
        <f>IF(ISERROR(INDEX(ParamCountry,D60,1)),"UNKNOWN",INDEX(ParamCountry,D60,1))</f>
        <v>Australia</v>
      </c>
      <c r="E61" s="70" t="s">
        <v>234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OECD/IEA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Lavagne d'Ortigue</dc:creator>
  <cp:keywords/>
  <dc:description/>
  <cp:lastModifiedBy>MARI MARTINEZ Laura, IEA/EXD/EDC/AES</cp:lastModifiedBy>
  <cp:lastPrinted>2016-05-02T08:49:29Z</cp:lastPrinted>
  <dcterms:created xsi:type="dcterms:W3CDTF">2003-03-23T14:44:21Z</dcterms:created>
  <dcterms:modified xsi:type="dcterms:W3CDTF">2022-04-27T14:16:07Z</dcterms:modified>
  <cp:category/>
  <cp:version/>
  <cp:contentType/>
  <cp:contentStatus/>
</cp:coreProperties>
</file>